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425" codeName="{99F03F65-6EE5-B2FF-AC1D-F4DDD12603F5}"/>
  <workbookPr codeName="EstaPasta_de_trabalho"/>
  <bookViews>
    <workbookView xWindow="65427" yWindow="65427" windowWidth="17606" windowHeight="13544" activeTab="2"/>
  </bookViews>
  <sheets>
    <sheet name="DADOS" sheetId="16" r:id="rId1"/>
    <sheet name="BDI (1)" sheetId="17" state="hidden" r:id="rId2"/>
    <sheet name="PO" sheetId="12" r:id="rId3"/>
    <sheet name="PLQ" sheetId="13" r:id="rId4"/>
    <sheet name="CFF" sheetId="11" r:id="rId5"/>
  </sheets>
  <definedNames>
    <definedName name="_xlnm.Print_Area" localSheetId="1">'BDI (1)'!$I$1:$R$50</definedName>
    <definedName name="_xlnm.Print_Area" localSheetId="4">'CFF'!$L$1:$X$36</definedName>
    <definedName name="_xlnm.Print_Area" localSheetId="0">'DADOS'!$A$1:$X$87</definedName>
    <definedName name="_xlnm.Print_Area" localSheetId="3">'PLQ'!$B$1:$P$46</definedName>
    <definedName name="_xlnm.Print_Area" localSheetId="2">'PO'!$K$1:$T$55</definedName>
    <definedName name="DATABASE">TEXT(Import.DataBase,"mm-aaaa")</definedName>
    <definedName name="CFF.ColunaPadrão">'CFF'!$AC:$AC</definedName>
    <definedName name="CFF.Colunas">'CFF'!$P$10:$X$10</definedName>
    <definedName name="CFF.Dados">OFFSET('CFF'!$L$17,1,0):OFFSET('CFF'!$X$30,-1,-1)</definedName>
    <definedName name="CFF.IncluirLinha">MAX('PO'!$V$12:$V$40)*CFF.NumLinha-ROW('CFF'!$F$30)+ROW('CFF'!$F$17)+1</definedName>
    <definedName name="CFF.Item">OFFSET('CFF'!$L$17,1,0):OFFSET('CFF'!$X$30,-1,-1)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OFFSET('PO'!$M$12,1,0):OFFSET('PO'!$M$40,-1,0)</definedName>
    <definedName name="Import.CR">'DADOS'!$A$29</definedName>
    <definedName name="Import.CTEF">'DADOS'!$A$43</definedName>
    <definedName name="Import.CustoUnitário">OFFSET('PO'!$Q$12,1,0):OFFSET('PO'!$Q$40,-1,0)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OFFSET('PO'!$N$12,1,0):OFFSET('PO'!$N$40,-1,0)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OFFSET('PO'!$L$12,1,0):OFFSET('PO'!$L$40,-1,0)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OFFSET('PO'!$K$12,1,0):OFFSET('PO'!$K$40,-1,0)</definedName>
    <definedName name="Import.Localidade">'DADOS'!$K$32</definedName>
    <definedName name="Import.LocalSINAPI">'DADOS'!$D$38</definedName>
    <definedName name="Import.Município">'DADOS'!$G$32</definedName>
    <definedName name="Import.Nível">OFFSET('PO'!$J$12,1,0):OFFSET('PO'!$J$40,-1,0)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OFFSET('PLQ'!$F$12,1,0):OFFSET('PLQ'!$P$40,-1,-1)</definedName>
    <definedName name="Import.POArred">'PO'!$X$3:$X$7</definedName>
    <definedName name="Import.PreçoTotal">OFFSET('PO'!$T$12,1,0):OFFSET('PO'!$T$40,-1,0)</definedName>
    <definedName name="Import.PreçoUnitário">OFFSET('PO'!$S$12,1,0):OFFSET('PO'!$S$40,-1,0)</definedName>
    <definedName name="Import.Programa">'DADOS'!$F$29</definedName>
    <definedName name="Import.Proponente">'DADOS'!$A$32</definedName>
    <definedName name="Import.Quantidade">OFFSET('PO'!$P$12,1,0):OFFSET('PO'!$P$40,-1,0)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OFFSET('PO'!$O$12,1,0):OFFSET('PO'!$O$40,-1,0)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OFFSET('PO'!$Z$12,1,0):OFFSET('PO'!$Z$40,-1,0)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'PO'!$K$41</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'PLQ'!$B$9:OFFSET('PLQ'!$B$40,-1,0)</definedName>
    <definedName name="PLQ.LinhaPadrão">'PLQ'!$A$11:$P$11</definedName>
    <definedName name="PLQ.qtde.frentes">COUNTA('PLQ'!$F$9:$P$9)</definedName>
    <definedName name="PO.BDI">OFFSET('PO'!$R$12,1,0):OFFSET('PO'!$R$40,-1,0)</definedName>
    <definedName name="PO.CustoRef">OFFSET('PO'!$Y$12,1,0):OFFSET('PO'!$Y$40,-1,0)</definedName>
    <definedName name="PO.CustoUnitario">ROUND('PO'!$Q1,15-13*'PO'!$X$4)</definedName>
    <definedName name="PO.Dados">'PO'!$C$12:OFFSET('PO'!$Z$40,-1,0)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"LICITADO"</definedName>
    <definedName name="Versao">'DADOS'!$A$2</definedName>
    <definedName name="VTOTAL1">ROUND(PO.Quantidade*PO.PrecoUnitario,15-13*'PO'!$X$7)</definedName>
    <definedName name="_xlnm.Print_Titles" localSheetId="2">'PO'!$10:$10</definedName>
    <definedName name="_xlnm.Print_Titles" localSheetId="3">'PLQ'!$B:$E,'PLQ'!$9:$10</definedName>
    <definedName name="_xlnm.Print_Titles" localSheetId="4">'CFF'!$L:$O,'CFF'!$10:$10</definedName>
  </definedNames>
  <calcPr calcId="181029"/>
</workbook>
</file>

<file path=xl/sharedStrings.xml><?xml version="1.0" encoding="utf-8"?>
<sst xmlns="http://schemas.openxmlformats.org/spreadsheetml/2006/main" count="521" uniqueCount="300">
  <si>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</si>
  <si>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</si>
  <si>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</si>
  <si>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</si>
  <si>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</si>
  <si>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</si>
  <si>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</si>
  <si>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</si>
  <si>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</si>
  <si>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</si>
  <si>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</si>
  <si>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</si>
  <si>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</si>
  <si>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</si>
  <si>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</si>
  <si>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</si>
  <si>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</si>
  <si>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</si>
  <si>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</si>
  <si>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</si>
  <si>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</si>
  <si>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</si>
  <si>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</si>
  <si>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</si>
  <si>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</si>
  <si>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</si>
  <si>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</si>
  <si>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</si>
  <si>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</si>
  <si>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</si>
  <si>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</si>
  <si>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</si>
  <si>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</si>
  <si>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</si>
  <si>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</si>
  <si>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</si>
  <si>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</si>
  <si>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</si>
  <si>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</si>
  <si>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</si>
  <si>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</si>
  <si>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</si>
  <si>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</si>
  <si>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</si>
  <si>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</si>
  <si>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</si>
  <si>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</si>
  <si>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</si>
  <si>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</si>
  <si>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</si>
  <si>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</si>
  <si>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</si>
  <si>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</si>
  <si>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</si>
  <si>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</si>
  <si>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</si>
  <si>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</si>
  <si>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</si>
  <si>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</si>
  <si>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</si>
  <si>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</si>
  <si>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</si>
  <si>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</si>
  <si>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</si>
  <si>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</si>
  <si>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</si>
  <si>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</si>
  <si>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</si>
  <si>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</si>
  <si>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</si>
  <si>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</si>
  <si>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</si>
  <si>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</si>
  <si>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</si>
  <si>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</si>
  <si>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</si>
  <si>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</si>
  <si>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</si>
  <si>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</si>
  <si>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</si>
  <si>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</si>
  <si>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</si>
  <si>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</si>
  <si>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</si>
  <si>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</si>
  <si>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</si>
  <si>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</si>
  <si>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</si>
  <si>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</si>
  <si>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</si>
  <si>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</si>
  <si>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</si>
  <si>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</si>
  <si>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</si>
  <si>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</si>
  <si>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</si>
  <si>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</si>
  <si>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</si>
  <si>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</si>
  <si>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</si>
  <si>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</si>
  <si>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</si>
  <si>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</si>
  <si>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</si>
  <si>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</si>
  <si>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</si>
  <si>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</si>
  <si>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</si>
  <si>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</si>
  <si>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</si>
  <si>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</si>
  <si>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</si>
  <si>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</si>
  <si>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</si>
  <si>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</si>
  <si>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</si>
  <si>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</si>
  <si>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</si>
  <si>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</si>
  <si>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</si>
  <si>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</si>
  <si>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</si>
  <si>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</si>
  <si>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</si>
  <si>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</si>
  <si>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</si>
  <si>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</si>
  <si>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</si>
  <si>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</si>
  <si>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</si>
  <si>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</si>
  <si>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</si>
  <si>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</si>
  <si>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</si>
  <si>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</si>
  <si>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</si>
  <si>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</si>
  <si>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</si>
  <si>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</si>
  <si>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</si>
  <si>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</si>
  <si>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</si>
  <si>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</si>
  <si>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</si>
  <si>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</si>
  <si>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</si>
  <si>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</si>
  <si>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</si>
  <si>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</si>
  <si>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</si>
  <si>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</si>
  <si>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</si>
  <si>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</si>
  <si>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</si>
  <si>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</si>
  <si>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</si>
  <si>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</si>
  <si>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</si>
  <si>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</si>
  <si>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</si>
  <si>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</si>
  <si>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</si>
  <si>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</si>
  <si>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</si>
  <si>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</si>
  <si>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</si>
  <si>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</si>
  <si>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</si>
  <si>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</si>
  <si>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</si>
  <si>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</si>
  <si>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</si>
  <si>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</si>
  <si>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</si>
  <si>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</si>
  <si>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</si>
  <si>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</si>
  <si>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</si>
  <si>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</si>
  <si>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</si>
  <si>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</si>
  <si>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</si>
  <si>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</si>
  <si>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</si>
  <si>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</si>
  <si>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</si>
  <si>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</si>
  <si>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</si>
  <si>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</si>
  <si>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</si>
  <si>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</si>
  <si>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</si>
  <si>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</si>
  <si>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</si>
  <si>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</si>
  <si>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</si>
  <si>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</si>
  <si>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</si>
  <si>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</si>
  <si>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</si>
  <si>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</si>
  <si>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</si>
  <si>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</si>
  <si>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</si>
  <si>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</si>
  <si>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</si>
  <si>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</si>
  <si>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</si>
  <si>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</si>
  <si>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</si>
  <si>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</si>
  <si>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</si>
  <si>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</si>
  <si>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</si>
  <si>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</si>
  <si>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</si>
  <si>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</si>
  <si>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</si>
  <si>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</si>
  <si>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</si>
  <si>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</si>
  <si>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</si>
  <si>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</si>
  <si>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</si>
  <si>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</si>
  <si>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</si>
  <si>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</si>
  <si>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</si>
  <si>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</si>
  <si>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Ministério das Cidades</t>
  </si>
  <si>
    <t>CQ - Planejamento Urbano</t>
  </si>
  <si>
    <t>Planejamento Urbano</t>
  </si>
  <si>
    <t>Implantação de Pavimentação em vias públicas urbanas</t>
  </si>
  <si>
    <t>Prefeitura Municipal de Tenente Portela</t>
  </si>
  <si>
    <t>Tenente Portela</t>
  </si>
  <si>
    <t>Sim</t>
  </si>
  <si>
    <t>SINAPI</t>
  </si>
  <si>
    <t>NÃO</t>
  </si>
  <si>
    <t>Clairton Carboni</t>
  </si>
  <si>
    <t>Prefeito Municipal</t>
  </si>
  <si>
    <t>SERVIÇOS PRELIMINARES</t>
  </si>
  <si>
    <t>74209/001</t>
  </si>
  <si>
    <t>1</t>
  </si>
  <si>
    <t>89889</t>
  </si>
  <si>
    <t>2</t>
  </si>
  <si>
    <t>3</t>
  </si>
  <si>
    <t>COMPOSIÇÃO</t>
  </si>
  <si>
    <t>SINAPI-I</t>
  </si>
  <si>
    <t>93382</t>
  </si>
  <si>
    <t>96396</t>
  </si>
  <si>
    <t xml:space="preserve">PAVIMENTAÇÃO </t>
  </si>
  <si>
    <t>93590</t>
  </si>
  <si>
    <t>72942</t>
  </si>
  <si>
    <t>SINALIZAÇÃO</t>
  </si>
  <si>
    <t>72947</t>
  </si>
  <si>
    <t>39849</t>
  </si>
  <si>
    <t>73916/2</t>
  </si>
  <si>
    <t>21013</t>
  </si>
  <si>
    <t>DRENAGEM - Rede de esgoto Pluvial e Sarjetas</t>
  </si>
  <si>
    <t>CONCRETO FUNDAÇÕES DAS PLACAS</t>
  </si>
  <si>
    <t>73790/2</t>
  </si>
  <si>
    <t>4</t>
  </si>
  <si>
    <t>7745</t>
  </si>
  <si>
    <t>Pavimentação Asfáltica Rua Santos Dumond e Rua Tupis</t>
  </si>
  <si>
    <t>1053.641-90/2018</t>
  </si>
  <si>
    <t>Rua Santos Dumond e Rua Tupis</t>
  </si>
  <si>
    <t>93358</t>
  </si>
  <si>
    <t>34721</t>
  </si>
  <si>
    <t>5</t>
  </si>
  <si>
    <t>REASSENTAMENTO DE PARALELEPÍPEDO</t>
  </si>
  <si>
    <t>Pavimentação Asfáltica Rua Tupis e Santos Dumont</t>
  </si>
  <si>
    <t>92210</t>
  </si>
  <si>
    <t>92809</t>
  </si>
  <si>
    <t>PAVIMENTAÇÃO</t>
  </si>
  <si>
    <t>PLACA DE OBRA EM CHAPA DE ACO GALVANIZADO</t>
  </si>
  <si>
    <t>SARJETA DE CONCRETO</t>
  </si>
  <si>
    <t>ESCAVAÇÃO VERTICAL A CÉU ABERTO, INCLUINDO CARGA, DESCARGA E TRANSPORTE, EM SOLO DE 1ª CATEGORIA COM ESCAVADEIRA HIDRÁULICA (CAÇAMBA: 0,8 M³ / 111 HP), FROTA DE 3 CAMINHÕES BASCULANTES DE 14 M³, DMT DE 1 KM E VELOCIDADE MÉDIA 15 KM/H. AF_12/2013</t>
  </si>
  <si>
    <t>REATERRO MANUAL DE VALAS COM COMPACTAÇÃO MECANIZADA. AF_04/2016</t>
  </si>
  <si>
    <t>TUBO DE CONCRETO PARA REDES COLETORAS DE ÁGUAS PLUVIAIS, DIÂMETRO DE 400 MM, JUNTA RÍGIDA, INSTALADO EM LOCAL COM BAIXO NÍVEL DE INTERFERÊNCIAS - FORNECIMENTO E ASSENTAMENTO. AF_12/2015</t>
  </si>
  <si>
    <t>TUBO CONCRETO ARMADO, CLASSE PA-1, PB, DN 400 MM, PARA AGUAS PLUVIAIS (NBR 8890)</t>
  </si>
  <si>
    <t>ASSENTAMENTO DE TUBO DE CONCRETO PARA REDES COLETORAS DE ÁGUAS PLUVIAIS, DIÂMETRO DE 400 MM, JUNTA RÍGIDA, INSTALADO EM LOCAL COM BAIXO NÍVEL DE INTERFERÊNCIAS (NÃO INCLUI FORNECIMENTO). AF_12/2015</t>
  </si>
  <si>
    <t>BOCA DE LOBO</t>
  </si>
  <si>
    <t>PINTURA DE LIGACAO COM EMULSAO RR-1C</t>
  </si>
  <si>
    <t>EXECUÇÃO E COMPACTAÇÃO DE BASE E OU SUB BASE COM BRITA GRADUADA SIMPLES - EXCLUSIVE CARGA E TRANSPORTE. AF_09/2017</t>
  </si>
  <si>
    <t>CONSTRUÇÃO DE PAVIMENTO COM APLICAÇÃO DE CBUQ,  BINDER, e:4,0CM</t>
  </si>
  <si>
    <t>TRANSPORTE COM CAMINHÃO BASCULANTE DE 10 M3, EM VIA URBANA PAVIMENTADA, DMT ACIMA DE 30KM (UNIDADE: M3XKM). AF_04/2016</t>
  </si>
  <si>
    <t>CONSTRUÇÃO DE PAVIMENTO COM APLICAÇÃO DE CBUQ, CAMADA DE ROLAMENTO, e:3,0CM</t>
  </si>
  <si>
    <t>RAMPA DE ACESSO</t>
  </si>
  <si>
    <t>SINALIZACAO HORIZONTAL COM TINTA RETRORREFLETIVA A BASE DE RESINA ACRILICA COM MICROESFERAS DE VIDRO</t>
  </si>
  <si>
    <t>ESCAVAÇÃO MANUAL DE VALA COM PROFUNDIDADE MENOR OU IGUAL A 1,30 M. AF_03/2016</t>
  </si>
  <si>
    <t>PLACA ESMALTADA PARA IDENTIFICAÇÃO NR DE RUA, DIMENSÕES 45X25CM</t>
  </si>
  <si>
    <t>PLACA DE SINALIZACAO EM CHAPA DE ALUMINIO COM PINTURA REFLETIVA, E = 2 MM</t>
  </si>
  <si>
    <t>TUBO ACO GALVANIZADO COM COSTURA, CLASSE LEVE, DN 50 MM ( 2"),  E = 3,00 MM,  *4,40* KG/M (NBR 5580)</t>
  </si>
  <si>
    <t>M2</t>
  </si>
  <si>
    <t>M</t>
  </si>
  <si>
    <t>M3</t>
  </si>
  <si>
    <t>UNIDADE</t>
  </si>
  <si>
    <t>M³</t>
  </si>
  <si>
    <t>M3XKM</t>
  </si>
  <si>
    <t>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</si>
</sst>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48">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rgb="FF000000"/>
      <name val="Arial"/>
      <family val="2"/>
    </font>
    <font>
      <b/>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style="medium"/>
      <right/>
      <top/>
      <bottom/>
    </border>
    <border>
      <left/>
      <right style="thin"/>
      <top style="thin"/>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2"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65"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0" fontId="12" fillId="0" borderId="0" applyNumberFormat="0" applyFill="0" applyBorder="0" applyAlignment="0" applyProtection="0"/>
  </cellStyleXfs>
  <cellXfs count="360">
    <xf numFmtId="0" fontId="0" fillId="0" borderId="0" xfId="0"/>
    <xf numFmtId="0" fontId="0" fillId="0" borderId="0" xfId="0" applyFont="1"/>
    <xf numFmtId="0" fontId="19" fillId="0" borderId="0" xfId="0" applyFont="1"/>
    <xf numFmtId="0" fontId="2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49" fontId="21" fillId="24" borderId="10" xfId="0" applyNumberFormat="1" applyFont="1" applyFill="1" applyBorder="1" applyAlignment="1">
      <alignment horizontal="center" vertical="center"/>
    </xf>
    <xf numFmtId="164" fontId="21" fillId="24" borderId="10" xfId="106" applyFont="1" applyFill="1" applyBorder="1" applyAlignment="1">
      <alignment horizontal="center" vertical="center"/>
    </xf>
    <xf numFmtId="10" fontId="21" fillId="24" borderId="10" xfId="95" applyNumberFormat="1" applyFont="1" applyFill="1" applyBorder="1" applyAlignment="1">
      <alignment horizontal="center" vertical="center"/>
    </xf>
    <xf numFmtId="0" fontId="22"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106"/>
    <xf numFmtId="0" fontId="25" fillId="0" borderId="0" xfId="0" applyFont="1" applyAlignment="1">
      <alignment vertical="center"/>
    </xf>
    <xf numFmtId="0" fontId="0" fillId="0" borderId="0" xfId="0" applyFont="1" applyAlignment="1">
      <alignment horizontal="right"/>
    </xf>
    <xf numFmtId="0" fontId="21" fillId="0" borderId="0" xfId="0" applyFont="1" applyAlignment="1">
      <alignment horizontal="right"/>
    </xf>
    <xf numFmtId="0" fontId="0" fillId="0" borderId="0" xfId="0" applyFont="1" applyAlignment="1">
      <alignment wrapText="1"/>
    </xf>
    <xf numFmtId="0" fontId="0" fillId="0" borderId="0" xfId="0" applyAlignment="1">
      <alignment horizontal="left" wrapText="1"/>
    </xf>
    <xf numFmtId="0" fontId="0" fillId="0" borderId="0" xfId="0" applyFont="1" applyAlignment="1">
      <alignment horizontal="left" wrapText="1" indent="2"/>
    </xf>
    <xf numFmtId="0" fontId="0" fillId="0" borderId="0" xfId="0" applyAlignment="1">
      <alignment horizontal="center"/>
    </xf>
    <xf numFmtId="0" fontId="21" fillId="0" borderId="11" xfId="91" applyFont="1" applyBorder="1" applyAlignment="1">
      <alignment horizontal="left" vertical="top"/>
      <protection/>
    </xf>
    <xf numFmtId="0" fontId="21" fillId="0" borderId="0" xfId="91" applyFont="1" applyAlignment="1">
      <alignment horizontal="left" vertical="top"/>
      <protection/>
    </xf>
    <xf numFmtId="0" fontId="21" fillId="0" borderId="12" xfId="91" applyFont="1" applyBorder="1" applyAlignment="1">
      <alignment horizontal="left" vertical="top"/>
      <protection/>
    </xf>
    <xf numFmtId="10" fontId="0" fillId="0" borderId="0" xfId="95" applyNumberFormat="1" applyAlignment="1">
      <alignment horizontal="left"/>
    </xf>
    <xf numFmtId="0" fontId="0" fillId="0" borderId="0" xfId="0" applyAlignment="1">
      <alignment horizontal="left" indent="2"/>
    </xf>
    <xf numFmtId="14" fontId="26" fillId="0" borderId="0" xfId="0" applyNumberFormat="1" applyFont="1" applyAlignment="1">
      <alignment vertical="top" wrapText="1"/>
    </xf>
    <xf numFmtId="0" fontId="27" fillId="0" borderId="0" xfId="0" applyFont="1" applyAlignment="1">
      <alignment horizontal="center"/>
    </xf>
    <xf numFmtId="0" fontId="27" fillId="0" borderId="0" xfId="0" applyFont="1"/>
    <xf numFmtId="0" fontId="20" fillId="0" borderId="0" xfId="0" applyFont="1" applyAlignment="1">
      <alignment horizontal="left"/>
    </xf>
    <xf numFmtId="166" fontId="0" fillId="0" borderId="0" xfId="106" applyNumberFormat="1" applyFont="1"/>
    <xf numFmtId="0" fontId="0" fillId="0" borderId="13" xfId="0" applyBorder="1" applyAlignment="1">
      <alignment horizontal="left"/>
    </xf>
    <xf numFmtId="0" fontId="0" fillId="0" borderId="13" xfId="0" applyBorder="1"/>
    <xf numFmtId="0" fontId="0" fillId="0" borderId="0" xfId="0" applyProtection="1">
      <protection hidden="1"/>
    </xf>
    <xf numFmtId="0" fontId="0" fillId="0" borderId="0" xfId="0" applyFont="1" applyProtection="1">
      <protection hidden="1"/>
    </xf>
    <xf numFmtId="0" fontId="21" fillId="0" borderId="0" xfId="0" applyFont="1" applyAlignment="1" applyProtection="1">
      <alignment wrapText="1"/>
      <protection hidden="1"/>
    </xf>
    <xf numFmtId="0" fontId="21" fillId="0" borderId="0" xfId="0" applyFont="1" applyAlignment="1" applyProtection="1">
      <alignment horizontal="center" vertical="center"/>
      <protection hidden="1"/>
    </xf>
    <xf numFmtId="0" fontId="1" fillId="0" borderId="0" xfId="0" applyFont="1" applyProtection="1">
      <protection hidden="1"/>
    </xf>
    <xf numFmtId="0" fontId="0" fillId="0" borderId="0" xfId="0" applyFont="1" applyAlignment="1" applyProtection="1">
      <alignment horizontal="center"/>
      <protection hidden="1"/>
    </xf>
    <xf numFmtId="0" fontId="0" fillId="0" borderId="0" xfId="0" applyFont="1" applyAlignment="1">
      <alignment horizontal="left" wrapText="1"/>
    </xf>
    <xf numFmtId="0" fontId="0" fillId="0" borderId="0" xfId="0" applyFont="1" applyAlignment="1">
      <alignment horizontal="left" wrapText="1" indent="1"/>
    </xf>
    <xf numFmtId="0" fontId="21" fillId="0" borderId="0" xfId="0" applyFont="1" applyAlignment="1">
      <alignment horizontal="left" wrapText="1" indent="1"/>
    </xf>
    <xf numFmtId="0" fontId="21" fillId="0" borderId="0" xfId="0" applyFont="1" applyAlignment="1">
      <alignment horizontal="left" indent="1"/>
    </xf>
    <xf numFmtId="0" fontId="0" fillId="0" borderId="0" xfId="90">
      <alignment/>
      <protection/>
    </xf>
    <xf numFmtId="0" fontId="21" fillId="0" borderId="0" xfId="90" applyFont="1" applyAlignment="1">
      <alignment horizontal="center"/>
      <protection/>
    </xf>
    <xf numFmtId="0" fontId="21" fillId="0" borderId="14" xfId="90" applyFont="1" applyBorder="1" applyAlignment="1">
      <alignment horizontal="center"/>
      <protection/>
    </xf>
    <xf numFmtId="10" fontId="29" fillId="0" borderId="14" xfId="90" applyNumberFormat="1" applyFont="1" applyBorder="1" applyAlignment="1">
      <alignment horizontal="center"/>
      <protection/>
    </xf>
    <xf numFmtId="0" fontId="20" fillId="0" borderId="0" xfId="90" applyFont="1" applyAlignment="1">
      <alignment horizontal="center"/>
      <protection/>
    </xf>
    <xf numFmtId="0" fontId="30" fillId="0" borderId="0" xfId="90" applyFont="1">
      <alignment/>
      <protection/>
    </xf>
    <xf numFmtId="0" fontId="21" fillId="0" borderId="0" xfId="90" applyFont="1">
      <alignment/>
      <protection/>
    </xf>
    <xf numFmtId="0" fontId="21" fillId="0" borderId="14" xfId="90" applyFont="1" applyBorder="1" applyAlignment="1">
      <alignment horizontal="center" vertical="center" wrapText="1"/>
      <protection/>
    </xf>
    <xf numFmtId="0" fontId="28" fillId="0" borderId="14" xfId="90" applyFont="1" applyBorder="1" applyAlignment="1">
      <alignment horizontal="center" vertical="center"/>
      <protection/>
    </xf>
    <xf numFmtId="10" fontId="28" fillId="22" borderId="14" xfId="90" applyNumberFormat="1" applyFont="1" applyFill="1" applyBorder="1" applyAlignment="1" applyProtection="1">
      <alignment horizontal="center" vertical="center"/>
      <protection locked="0"/>
    </xf>
    <xf numFmtId="4" fontId="24" fillId="0" borderId="14" xfId="90" applyNumberFormat="1" applyFont="1" applyBorder="1" applyAlignment="1">
      <alignment horizontal="center" vertical="center"/>
      <protection/>
    </xf>
    <xf numFmtId="10" fontId="28" fillId="0" borderId="14" xfId="90" applyNumberFormat="1" applyFont="1" applyBorder="1" applyAlignment="1">
      <alignment horizontal="center" vertical="center"/>
      <protection/>
    </xf>
    <xf numFmtId="10" fontId="28" fillId="0" borderId="14" xfId="90" applyNumberFormat="1" applyFont="1" applyBorder="1" applyAlignment="1">
      <alignment horizontal="center" vertical="center" wrapText="1"/>
      <protection/>
    </xf>
    <xf numFmtId="0" fontId="28" fillId="0" borderId="14" xfId="90" applyFont="1" applyBorder="1" applyAlignment="1">
      <alignment horizontal="center" vertical="center" wrapText="1"/>
      <protection/>
    </xf>
    <xf numFmtId="0" fontId="36" fillId="0" borderId="0" xfId="90" applyFont="1" applyAlignment="1">
      <alignment horizontal="center" vertical="center" wrapText="1"/>
      <protection/>
    </xf>
    <xf numFmtId="10" fontId="36" fillId="0" borderId="0" xfId="90" applyNumberFormat="1" applyFont="1" applyAlignment="1">
      <alignment horizontal="center" vertical="center"/>
      <protection/>
    </xf>
    <xf numFmtId="170" fontId="0" fillId="0" borderId="0" xfId="90" applyNumberFormat="1">
      <alignment/>
      <protection/>
    </xf>
    <xf numFmtId="0" fontId="28" fillId="0" borderId="0" xfId="90" applyFont="1">
      <alignment/>
      <protection/>
    </xf>
    <xf numFmtId="0" fontId="28" fillId="0" borderId="0" xfId="90" applyFont="1" applyAlignment="1">
      <alignment vertical="top"/>
      <protection/>
    </xf>
    <xf numFmtId="0" fontId="32" fillId="0" borderId="0" xfId="90" applyFont="1" applyAlignment="1">
      <alignment horizontal="center" vertical="top"/>
      <protection/>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1" fillId="24" borderId="14" xfId="0" applyFont="1" applyFill="1" applyBorder="1" applyAlignment="1">
      <alignment horizontal="center" vertical="center"/>
    </xf>
    <xf numFmtId="0" fontId="0" fillId="0" borderId="15" xfId="0" applyFont="1" applyBorder="1" applyAlignment="1">
      <alignment horizontal="center"/>
    </xf>
    <xf numFmtId="0" fontId="21" fillId="0" borderId="16" xfId="0" applyFont="1" applyBorder="1" applyAlignment="1">
      <alignment horizontal="center"/>
    </xf>
    <xf numFmtId="0" fontId="34" fillId="0" borderId="0" xfId="0" applyFont="1" applyAlignment="1">
      <alignment vertical="center"/>
    </xf>
    <xf numFmtId="0" fontId="0" fillId="0" borderId="0" xfId="0" applyFont="1" applyAlignment="1">
      <alignment horizontal="center" vertical="top"/>
    </xf>
    <xf numFmtId="0" fontId="0" fillId="0" borderId="17" xfId="0" applyFont="1" applyBorder="1"/>
    <xf numFmtId="0" fontId="28" fillId="0" borderId="0" xfId="0" applyFont="1"/>
    <xf numFmtId="0" fontId="20" fillId="0" borderId="0" xfId="0" applyFont="1" applyAlignment="1">
      <alignment horizontal="right"/>
    </xf>
    <xf numFmtId="0" fontId="21" fillId="22" borderId="0" xfId="0" applyFont="1" applyFill="1" applyProtection="1">
      <protection locked="0"/>
    </xf>
    <xf numFmtId="0" fontId="21" fillId="24" borderId="10" xfId="0" applyFont="1" applyFill="1" applyBorder="1" applyAlignment="1">
      <alignment horizontal="center" vertical="center" wrapText="1"/>
    </xf>
    <xf numFmtId="0" fontId="0" fillId="22" borderId="18" xfId="0" applyFont="1" applyFill="1" applyBorder="1" applyAlignment="1" applyProtection="1">
      <alignment horizontal="left" vertical="top" wrapText="1"/>
      <protection locked="0"/>
    </xf>
    <xf numFmtId="0" fontId="0" fillId="0" borderId="12" xfId="0" applyFont="1" applyBorder="1"/>
    <xf numFmtId="0" fontId="28" fillId="0" borderId="11" xfId="0" applyFont="1" applyBorder="1" applyAlignment="1">
      <alignment horizontal="left" vertical="center"/>
    </xf>
    <xf numFmtId="0" fontId="0" fillId="22" borderId="18" xfId="0" applyFont="1" applyFill="1" applyBorder="1" applyAlignment="1" applyProtection="1">
      <alignment vertical="top" wrapText="1"/>
      <protection locked="0"/>
    </xf>
    <xf numFmtId="0" fontId="21" fillId="0" borderId="11" xfId="91" applyFont="1" applyBorder="1" applyAlignment="1">
      <alignment vertical="top"/>
      <protection/>
    </xf>
    <xf numFmtId="0" fontId="21" fillId="0" borderId="15" xfId="91" applyFont="1" applyBorder="1" applyAlignment="1">
      <alignment horizontal="center" vertical="top"/>
      <protection/>
    </xf>
    <xf numFmtId="10" fontId="0" fillId="22" borderId="16" xfId="95" applyNumberFormat="1" applyFont="1" applyFill="1" applyBorder="1" applyAlignment="1">
      <alignment horizontal="center" vertical="top" wrapText="1"/>
    </xf>
    <xf numFmtId="10" fontId="0" fillId="0" borderId="16" xfId="95" applyNumberFormat="1" applyFont="1" applyBorder="1" applyAlignment="1">
      <alignment horizontal="center" vertical="top" wrapText="1"/>
    </xf>
    <xf numFmtId="164" fontId="21" fillId="24" borderId="19" xfId="106" applyFont="1" applyFill="1" applyBorder="1" applyAlignment="1">
      <alignment horizontal="center" vertical="center" shrinkToFit="1"/>
    </xf>
    <xf numFmtId="164" fontId="0" fillId="0" borderId="20" xfId="106" applyBorder="1" applyAlignment="1">
      <alignment horizontal="center" vertical="center" shrinkToFit="1"/>
    </xf>
    <xf numFmtId="0" fontId="20" fillId="0" borderId="0" xfId="0" applyFont="1" applyAlignment="1">
      <alignment horizontal="left" vertical="center"/>
    </xf>
    <xf numFmtId="0" fontId="0" fillId="0" borderId="0" xfId="90" applyAlignment="1">
      <alignment horizontal="center" vertical="top"/>
      <protection/>
    </xf>
    <xf numFmtId="0" fontId="35" fillId="0" borderId="0" xfId="91" applyFont="1" applyAlignment="1">
      <alignment horizontal="left" vertical="top"/>
      <protection/>
    </xf>
    <xf numFmtId="0" fontId="33" fillId="0" borderId="0" xfId="0" applyFont="1" applyAlignment="1">
      <alignment horizontal="left" vertical="center"/>
    </xf>
    <xf numFmtId="3" fontId="0" fillId="20" borderId="21" xfId="0" applyNumberFormat="1" applyFill="1" applyBorder="1" applyAlignment="1">
      <alignment horizontal="left"/>
    </xf>
    <xf numFmtId="10" fontId="0" fillId="22" borderId="18" xfId="95" applyNumberFormat="1" applyFont="1" applyFill="1" applyBorder="1" applyAlignment="1" applyProtection="1">
      <alignment horizontal="left" vertical="top" wrapText="1"/>
      <protection locked="0"/>
    </xf>
    <xf numFmtId="0" fontId="0" fillId="20" borderId="18" xfId="0" applyFont="1" applyFill="1" applyBorder="1" applyAlignment="1">
      <alignment horizontal="left"/>
    </xf>
    <xf numFmtId="4" fontId="24" fillId="0" borderId="14" xfId="90" applyNumberFormat="1" applyFont="1" applyBorder="1" applyAlignment="1">
      <alignment horizontal="center" vertical="center" wrapText="1"/>
      <protection/>
    </xf>
    <xf numFmtId="0" fontId="42" fillId="0" borderId="0" xfId="90" applyFont="1" applyAlignment="1">
      <alignment wrapText="1"/>
      <protection/>
    </xf>
    <xf numFmtId="0" fontId="43" fillId="0" borderId="0" xfId="90" applyFont="1" applyAlignment="1">
      <alignment vertical="top" wrapText="1"/>
      <protection/>
    </xf>
    <xf numFmtId="0" fontId="40" fillId="0" borderId="14" xfId="90" applyFont="1" applyBorder="1" applyAlignment="1">
      <alignment horizontal="center" vertical="center"/>
      <protection/>
    </xf>
    <xf numFmtId="4" fontId="24" fillId="0" borderId="0" xfId="90" applyNumberFormat="1" applyFont="1" applyAlignment="1">
      <alignment horizontal="center" vertical="center" wrapText="1"/>
      <protection/>
    </xf>
    <xf numFmtId="0" fontId="0" fillId="0" borderId="0" xfId="90" applyProtection="1">
      <alignment/>
      <protection locked="0"/>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wrapText="1"/>
    </xf>
    <xf numFmtId="0" fontId="21" fillId="0" borderId="0" xfId="0" applyFont="1" applyAlignment="1">
      <alignment horizontal="center" vertical="center" wrapText="1"/>
    </xf>
    <xf numFmtId="0" fontId="22" fillId="0" borderId="16" xfId="0" applyFont="1" applyBorder="1" applyAlignment="1">
      <alignment horizontal="center"/>
    </xf>
    <xf numFmtId="0" fontId="1" fillId="22" borderId="23" xfId="0" applyFont="1" applyFill="1" applyBorder="1" applyAlignment="1" applyProtection="1">
      <alignment vertical="center" wrapText="1"/>
      <protection locked="0"/>
    </xf>
    <xf numFmtId="164" fontId="0" fillId="0" borderId="24" xfId="106"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lignment horizontal="center" vertical="center" wrapText="1"/>
    </xf>
    <xf numFmtId="0" fontId="21" fillId="0" borderId="15" xfId="0" applyFont="1" applyBorder="1" applyAlignment="1">
      <alignment horizontal="center" vertical="center"/>
    </xf>
    <xf numFmtId="0" fontId="25" fillId="0" borderId="26" xfId="0" applyFont="1" applyBorder="1" applyAlignment="1">
      <alignment horizontal="center" vertical="center"/>
    </xf>
    <xf numFmtId="0" fontId="1" fillId="0" borderId="27" xfId="0" applyFont="1" applyBorder="1" applyAlignment="1">
      <alignment vertical="center"/>
    </xf>
    <xf numFmtId="0" fontId="0" fillId="0" borderId="28" xfId="0" applyFont="1" applyBorder="1" applyAlignment="1">
      <alignment vertical="center" wrapText="1"/>
    </xf>
    <xf numFmtId="0" fontId="1" fillId="0" borderId="28" xfId="0" applyFont="1" applyBorder="1" applyAlignment="1">
      <alignment vertical="center"/>
    </xf>
    <xf numFmtId="0" fontId="0" fillId="0" borderId="28" xfId="0" applyFont="1" applyBorder="1" applyAlignment="1">
      <alignment horizontal="center" vertical="center" wrapText="1"/>
    </xf>
    <xf numFmtId="0" fontId="0" fillId="0" borderId="28" xfId="0" applyFont="1" applyBorder="1" applyAlignment="1">
      <alignment vertical="center" shrinkToFit="1"/>
    </xf>
    <xf numFmtId="10" fontId="0" fillId="0" borderId="24" xfId="106" applyNumberFormat="1" applyBorder="1" applyAlignment="1">
      <alignment vertical="center" shrinkToFit="1"/>
    </xf>
    <xf numFmtId="10" fontId="21" fillId="24" borderId="10" xfId="106" applyNumberFormat="1" applyFont="1" applyFill="1" applyBorder="1" applyAlignment="1">
      <alignment horizontal="center" vertical="center"/>
    </xf>
    <xf numFmtId="0" fontId="0" fillId="0" borderId="18" xfId="0" applyFont="1" applyBorder="1" applyAlignment="1">
      <alignment vertical="top" wrapText="1"/>
    </xf>
    <xf numFmtId="0" fontId="0" fillId="0" borderId="18" xfId="0" applyFont="1" applyBorder="1" applyAlignment="1">
      <alignment horizontal="left" vertical="top" wrapText="1"/>
    </xf>
    <xf numFmtId="10" fontId="0" fillId="0" borderId="16" xfId="95" applyNumberFormat="1" applyFont="1" applyBorder="1" applyAlignment="1">
      <alignment horizontal="center" vertical="top" wrapText="1"/>
    </xf>
    <xf numFmtId="10" fontId="0" fillId="0" borderId="18" xfId="95" applyNumberFormat="1" applyFont="1" applyBorder="1" applyAlignment="1">
      <alignment horizontal="left" vertical="top" wrapText="1"/>
    </xf>
    <xf numFmtId="0" fontId="21" fillId="0" borderId="17" xfId="0" applyFont="1" applyBorder="1"/>
    <xf numFmtId="0" fontId="21" fillId="0" borderId="17" xfId="0" applyFont="1" applyBorder="1" applyAlignment="1">
      <alignment horizontal="left"/>
    </xf>
    <xf numFmtId="0" fontId="0" fillId="0" borderId="17" xfId="0" applyFont="1" applyBorder="1" applyAlignment="1">
      <alignment horizontal="left"/>
    </xf>
    <xf numFmtId="0" fontId="21" fillId="0" borderId="17" xfId="90" applyFont="1" applyBorder="1" applyAlignment="1">
      <alignment horizontal="left"/>
      <protection/>
    </xf>
    <xf numFmtId="0" fontId="0" fillId="0" borderId="17" xfId="90" applyBorder="1">
      <alignment/>
      <protection/>
    </xf>
    <xf numFmtId="0" fontId="25" fillId="0" borderId="0" xfId="0" applyFont="1" applyAlignment="1">
      <alignment horizontal="center" vertical="center"/>
    </xf>
    <xf numFmtId="0" fontId="35" fillId="0" borderId="29" xfId="0" applyFont="1" applyBorder="1" applyAlignment="1">
      <alignment horizontal="center" vertical="center" wrapText="1"/>
    </xf>
    <xf numFmtId="0" fontId="27" fillId="0" borderId="0" xfId="0" applyFont="1" applyAlignment="1">
      <alignment horizontal="center" vertical="center" wrapText="1"/>
    </xf>
    <xf numFmtId="4" fontId="24" fillId="25" borderId="13" xfId="106" applyNumberFormat="1" applyFont="1" applyFill="1" applyBorder="1" applyAlignment="1">
      <alignment horizontal="center" vertical="center" shrinkToFit="1"/>
    </xf>
    <xf numFmtId="10" fontId="24" fillId="21" borderId="0" xfId="95" applyNumberFormat="1" applyFont="1" applyFill="1" applyAlignment="1">
      <alignment horizontal="center" vertical="center" shrinkToFit="1"/>
    </xf>
    <xf numFmtId="4" fontId="24" fillId="21" borderId="13" xfId="106" applyNumberFormat="1" applyFont="1" applyFill="1" applyBorder="1" applyAlignment="1">
      <alignment horizontal="center" vertical="center" shrinkToFit="1"/>
    </xf>
    <xf numFmtId="0" fontId="35" fillId="0" borderId="30" xfId="0" applyFont="1" applyBorder="1" applyAlignment="1">
      <alignment horizontal="center" vertical="center" wrapText="1"/>
    </xf>
    <xf numFmtId="0" fontId="0" fillId="0" borderId="17" xfId="0" applyFont="1" applyBorder="1" applyAlignment="1">
      <alignment horizontal="center"/>
    </xf>
    <xf numFmtId="0" fontId="21" fillId="25" borderId="18" xfId="0" applyFont="1" applyFill="1" applyBorder="1" applyAlignment="1">
      <alignment horizontal="center" vertical="center"/>
    </xf>
    <xf numFmtId="0" fontId="21" fillId="21" borderId="11" xfId="0" applyFont="1" applyFill="1" applyBorder="1" applyAlignment="1">
      <alignment horizontal="center" vertical="center"/>
    </xf>
    <xf numFmtId="0" fontId="21" fillId="21" borderId="18" xfId="0" applyFont="1" applyFill="1" applyBorder="1" applyAlignment="1">
      <alignment horizontal="center" vertical="center"/>
    </xf>
    <xf numFmtId="0" fontId="0" fillId="22" borderId="14" xfId="0" applyFill="1" applyBorder="1" applyAlignment="1" applyProtection="1">
      <alignment horizontal="center" vertical="center"/>
      <protection locked="0"/>
    </xf>
    <xf numFmtId="0" fontId="35" fillId="0" borderId="0" xfId="0" applyFont="1" applyAlignment="1">
      <alignment horizontal="center" wrapText="1"/>
    </xf>
    <xf numFmtId="0" fontId="44" fillId="0" borderId="0" xfId="0" applyFont="1"/>
    <xf numFmtId="0" fontId="0" fillId="0" borderId="31" xfId="0" applyFont="1" applyBorder="1" applyAlignment="1">
      <alignment vertical="center" wrapText="1" shrinkToFit="1"/>
    </xf>
    <xf numFmtId="0" fontId="37" fillId="24" borderId="32" xfId="0" applyFont="1" applyFill="1" applyBorder="1" applyAlignment="1">
      <alignment horizontal="center" vertical="center" wrapText="1"/>
    </xf>
    <xf numFmtId="164" fontId="0" fillId="0" borderId="28" xfId="106" applyBorder="1" applyAlignment="1">
      <alignment vertical="center" shrinkToFit="1"/>
    </xf>
    <xf numFmtId="0" fontId="0" fillId="0" borderId="0" xfId="0" applyFont="1" applyAlignment="1" applyProtection="1">
      <alignment horizontal="center"/>
      <protection locked="0"/>
    </xf>
    <xf numFmtId="0" fontId="21" fillId="25" borderId="11" xfId="0" applyFont="1" applyFill="1" applyBorder="1" applyAlignment="1">
      <alignment horizontal="center" vertical="center"/>
    </xf>
    <xf numFmtId="10" fontId="28" fillId="0" borderId="0" xfId="95" applyNumberFormat="1" applyFont="1" applyAlignment="1">
      <alignment horizontal="center" vertical="center"/>
    </xf>
    <xf numFmtId="4" fontId="28" fillId="0" borderId="0" xfId="95" applyNumberFormat="1" applyFont="1" applyAlignment="1">
      <alignment horizontal="center" vertical="center"/>
    </xf>
    <xf numFmtId="0" fontId="0" fillId="0" borderId="11" xfId="0" applyFont="1" applyBorder="1" applyAlignment="1">
      <alignment horizontal="center" vertical="center"/>
    </xf>
    <xf numFmtId="0" fontId="21" fillId="0" borderId="11" xfId="0" applyFont="1" applyBorder="1" applyAlignment="1">
      <alignment horizontal="center" vertical="center"/>
    </xf>
    <xf numFmtId="0" fontId="23" fillId="0" borderId="0" xfId="0" applyFont="1" applyAlignment="1">
      <alignment vertical="center"/>
    </xf>
    <xf numFmtId="0" fontId="20" fillId="0" borderId="0" xfId="0" applyFont="1" applyAlignment="1">
      <alignment horizontal="right" vertical="center"/>
    </xf>
    <xf numFmtId="0" fontId="0" fillId="0" borderId="0" xfId="0" applyAlignment="1">
      <alignment horizontal="center" vertical="top"/>
    </xf>
    <xf numFmtId="0" fontId="0" fillId="0" borderId="0" xfId="0" applyFont="1" applyAlignment="1">
      <alignment horizontal="center" wrapText="1"/>
    </xf>
    <xf numFmtId="0" fontId="19" fillId="0" borderId="0" xfId="0" applyFont="1" applyAlignment="1">
      <alignment wrapText="1"/>
    </xf>
    <xf numFmtId="0" fontId="21" fillId="0" borderId="0" xfId="0" applyFont="1" applyAlignment="1">
      <alignment horizontal="center" wrapText="1"/>
    </xf>
    <xf numFmtId="0" fontId="24" fillId="0" borderId="15" xfId="0" applyFont="1" applyBorder="1" applyAlignment="1">
      <alignment horizontal="center" vertical="center"/>
    </xf>
    <xf numFmtId="0" fontId="24" fillId="0" borderId="15" xfId="0" applyFont="1" applyBorder="1" applyAlignment="1">
      <alignment horizontal="center" vertical="center" wrapText="1"/>
    </xf>
    <xf numFmtId="0" fontId="24" fillId="0" borderId="30" xfId="0" applyFont="1" applyBorder="1" applyAlignment="1">
      <alignment horizontal="center" vertical="center" wrapText="1"/>
    </xf>
    <xf numFmtId="4" fontId="0" fillId="0" borderId="0" xfId="0" applyNumberFormat="1" applyFont="1" applyAlignment="1">
      <alignment horizontal="center" vertical="center"/>
    </xf>
    <xf numFmtId="0" fontId="1" fillId="0" borderId="0" xfId="0" applyFont="1"/>
    <xf numFmtId="0" fontId="0" fillId="0" borderId="0" xfId="0" applyFont="1" applyAlignment="1">
      <alignment vertical="top"/>
    </xf>
    <xf numFmtId="0" fontId="21" fillId="0" borderId="0" xfId="0" applyFont="1" applyAlignment="1">
      <alignment vertical="center"/>
    </xf>
    <xf numFmtId="4" fontId="1" fillId="0" borderId="0" xfId="0" applyNumberFormat="1" applyFont="1"/>
    <xf numFmtId="0" fontId="21" fillId="0" borderId="17" xfId="0" applyFont="1" applyBorder="1" applyAlignment="1">
      <alignment horizontal="left" vertical="center"/>
    </xf>
    <xf numFmtId="0" fontId="21" fillId="0" borderId="11" xfId="0" applyFont="1" applyBorder="1" applyAlignment="1">
      <alignment wrapText="1"/>
    </xf>
    <xf numFmtId="0" fontId="0" fillId="0" borderId="11" xfId="0" applyBorder="1"/>
    <xf numFmtId="0" fontId="0" fillId="0" borderId="11" xfId="0" applyBorder="1" quotePrefix="1"/>
    <xf numFmtId="10" fontId="28" fillId="0" borderId="11" xfId="95" applyNumberFormat="1" applyFont="1" applyBorder="1" applyAlignment="1">
      <alignment horizontal="center" vertical="center"/>
    </xf>
    <xf numFmtId="4" fontId="28" fillId="0" borderId="11" xfId="95" applyNumberFormat="1" applyFont="1" applyBorder="1" applyAlignment="1">
      <alignment horizontal="center" vertical="center"/>
    </xf>
    <xf numFmtId="4" fontId="24" fillId="25" borderId="18" xfId="106" applyNumberFormat="1" applyFont="1" applyFill="1" applyBorder="1" applyAlignment="1">
      <alignment horizontal="center" vertical="center" shrinkToFit="1"/>
    </xf>
    <xf numFmtId="10" fontId="24" fillId="21" borderId="11" xfId="95" applyNumberFormat="1" applyFont="1" applyFill="1" applyBorder="1" applyAlignment="1">
      <alignment horizontal="center" vertical="center" shrinkToFit="1"/>
    </xf>
    <xf numFmtId="4" fontId="24" fillId="21" borderId="18" xfId="106" applyNumberFormat="1" applyFont="1" applyFill="1" applyBorder="1" applyAlignment="1">
      <alignment horizontal="center" vertical="center" shrinkToFit="1"/>
    </xf>
    <xf numFmtId="0" fontId="0" fillId="0" borderId="15" xfId="0" applyFont="1" applyBorder="1" applyAlignment="1">
      <alignment horizontal="center" vertical="center"/>
    </xf>
    <xf numFmtId="0" fontId="0" fillId="0" borderId="33" xfId="0" applyFont="1" applyBorder="1" applyAlignment="1">
      <alignment horizontal="center" vertical="center"/>
    </xf>
    <xf numFmtId="10" fontId="24" fillId="25" borderId="11" xfId="95" applyNumberFormat="1" applyFont="1" applyFill="1" applyBorder="1" applyAlignment="1">
      <alignment horizontal="center" vertical="center" shrinkToFit="1"/>
    </xf>
    <xf numFmtId="10" fontId="24" fillId="25" borderId="0" xfId="95" applyNumberFormat="1" applyFont="1" applyFill="1" applyAlignment="1">
      <alignment horizontal="center" vertical="center" shrinkToFit="1"/>
    </xf>
    <xf numFmtId="4" fontId="28" fillId="0" borderId="12" xfId="95" applyNumberFormat="1" applyFont="1" applyBorder="1" applyAlignment="1">
      <alignment horizontal="center" vertical="center"/>
    </xf>
    <xf numFmtId="10" fontId="0" fillId="0" borderId="14" xfId="0" applyNumberFormat="1" applyBorder="1"/>
    <xf numFmtId="49" fontId="0" fillId="22" borderId="24" xfId="0" applyNumberFormat="1" applyFont="1" applyFill="1" applyBorder="1" applyAlignment="1" applyProtection="1">
      <alignment horizontal="center" vertical="center" wrapText="1"/>
      <protection locked="0"/>
    </xf>
    <xf numFmtId="0" fontId="24" fillId="0" borderId="0" xfId="0" applyFont="1" applyAlignment="1">
      <alignment horizontal="center" vertical="center" wrapText="1"/>
    </xf>
    <xf numFmtId="0" fontId="0" fillId="0" borderId="14" xfId="0" applyFont="1" applyBorder="1"/>
    <xf numFmtId="0" fontId="0" fillId="0" borderId="0" xfId="0" quotePrefix="1"/>
    <xf numFmtId="0" fontId="28" fillId="0" borderId="0" xfId="0" applyFont="1" applyAlignment="1" applyProtection="1">
      <alignment horizontal="left" wrapText="1"/>
      <protection locked="0"/>
    </xf>
    <xf numFmtId="0" fontId="0" fillId="0" borderId="14" xfId="0" applyFont="1" applyBorder="1" applyProtection="1">
      <protection locked="0"/>
    </xf>
    <xf numFmtId="164" fontId="0" fillId="22" borderId="34" xfId="106" applyFill="1" applyBorder="1" applyAlignment="1" applyProtection="1">
      <alignment vertical="center" shrinkToFit="1"/>
      <protection locked="0"/>
    </xf>
    <xf numFmtId="0" fontId="21" fillId="24" borderId="32"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0" borderId="11" xfId="0" applyFont="1" applyBorder="1" applyAlignment="1">
      <alignment horizontal="center" vertical="center" wrapText="1" shrinkToFit="1"/>
    </xf>
    <xf numFmtId="14" fontId="24" fillId="0" borderId="11" xfId="0" applyNumberFormat="1" applyFont="1" applyBorder="1" applyAlignment="1">
      <alignment horizontal="center" vertical="center" wrapText="1"/>
    </xf>
    <xf numFmtId="0" fontId="0" fillId="0" borderId="28" xfId="0" applyFont="1" applyBorder="1" applyAlignment="1">
      <alignment horizontal="center" vertical="center"/>
    </xf>
    <xf numFmtId="10" fontId="28" fillId="22" borderId="35" xfId="95" applyNumberFormat="1" applyFont="1" applyFill="1" applyBorder="1" applyAlignment="1" applyProtection="1">
      <alignment horizontal="center" vertical="center"/>
      <protection hidden="1" locked="0"/>
    </xf>
    <xf numFmtId="0" fontId="24" fillId="0" borderId="12" xfId="0" applyFont="1" applyBorder="1" applyAlignment="1">
      <alignment horizontal="center" vertical="center" wrapText="1"/>
    </xf>
    <xf numFmtId="0" fontId="21" fillId="0" borderId="0" xfId="0" applyFont="1" applyAlignment="1">
      <alignment wrapText="1"/>
    </xf>
    <xf numFmtId="0" fontId="0" fillId="20" borderId="0" xfId="0" applyFont="1" applyFill="1"/>
    <xf numFmtId="164" fontId="0" fillId="22" borderId="24" xfId="106" applyFill="1" applyBorder="1" applyAlignment="1">
      <alignment vertical="center" shrinkToFit="1"/>
    </xf>
    <xf numFmtId="10" fontId="28" fillId="22" borderId="36" xfId="95" applyNumberFormat="1" applyFont="1" applyFill="1" applyBorder="1" applyAlignment="1" applyProtection="1">
      <alignment horizontal="center" vertical="center"/>
      <protection locked="0"/>
    </xf>
    <xf numFmtId="10" fontId="28" fillId="22" borderId="35" xfId="95" applyNumberFormat="1" applyFont="1" applyFill="1" applyBorder="1" applyAlignment="1" applyProtection="1">
      <alignment horizontal="center" vertical="center"/>
      <protection locked="0"/>
    </xf>
    <xf numFmtId="10" fontId="28" fillId="22" borderId="37" xfId="95" applyNumberFormat="1" applyFont="1" applyFill="1" applyBorder="1" applyAlignment="1" applyProtection="1">
      <alignment horizontal="center" vertical="center"/>
      <protection locked="0"/>
    </xf>
    <xf numFmtId="164" fontId="0" fillId="26" borderId="24" xfId="106" applyFill="1" applyBorder="1" applyAlignment="1" applyProtection="1">
      <alignment vertical="center" wrapText="1"/>
      <protection locked="0"/>
    </xf>
    <xf numFmtId="0" fontId="0" fillId="26" borderId="24" xfId="0" applyFont="1" applyFill="1" applyBorder="1" applyAlignment="1" applyProtection="1">
      <alignment horizontal="center" vertical="center" wrapText="1"/>
      <protection locked="0"/>
    </xf>
    <xf numFmtId="0" fontId="0" fillId="26" borderId="24" xfId="0" applyFont="1" applyFill="1" applyBorder="1" applyAlignment="1" applyProtection="1">
      <alignment vertical="center" wrapText="1"/>
      <protection locked="0"/>
    </xf>
    <xf numFmtId="10" fontId="0" fillId="26" borderId="24" xfId="95" applyNumberFormat="1" applyFill="1" applyBorder="1" applyAlignment="1" applyProtection="1">
      <alignment horizontal="center" vertical="center" wrapText="1"/>
      <protection locked="0"/>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0" borderId="0" xfId="0" applyFont="1" applyAlignment="1">
      <alignment horizontal="left" wrapText="1" indent="3"/>
    </xf>
    <xf numFmtId="0" fontId="0" fillId="0" borderId="0" xfId="0" applyAlignment="1">
      <alignment horizontal="left" indent="3"/>
    </xf>
    <xf numFmtId="0" fontId="21" fillId="0" borderId="11" xfId="91" applyFont="1" applyBorder="1" applyAlignment="1">
      <alignment horizontal="left" vertical="top"/>
      <protection/>
    </xf>
    <xf numFmtId="0" fontId="21" fillId="0" borderId="0" xfId="91" applyFont="1" applyAlignment="1">
      <alignment horizontal="left" vertical="top"/>
      <protection/>
    </xf>
    <xf numFmtId="0" fontId="0" fillId="0" borderId="0" xfId="0" applyFont="1" applyAlignment="1">
      <alignment horizontal="left" wrapText="1" indent="2"/>
    </xf>
    <xf numFmtId="0" fontId="0" fillId="0" borderId="0" xfId="0" applyAlignment="1">
      <alignment horizontal="left" indent="2"/>
    </xf>
    <xf numFmtId="0" fontId="21" fillId="0" borderId="39" xfId="0" applyFont="1" applyBorder="1" applyAlignment="1">
      <alignment horizontal="left" wrapText="1"/>
    </xf>
    <xf numFmtId="0" fontId="21" fillId="0" borderId="0" xfId="0" applyFont="1" applyAlignment="1">
      <alignment horizontal="left" wrapText="1"/>
    </xf>
    <xf numFmtId="0" fontId="21" fillId="0" borderId="0" xfId="0" applyFont="1" applyAlignment="1">
      <alignment horizontal="left" wrapText="1" indent="1"/>
    </xf>
    <xf numFmtId="0" fontId="21" fillId="0" borderId="0" xfId="0" applyFont="1" applyAlignment="1">
      <alignment horizontal="left" indent="1"/>
    </xf>
    <xf numFmtId="0" fontId="21" fillId="0" borderId="12" xfId="91" applyFont="1" applyBorder="1" applyAlignment="1">
      <alignment horizontal="left" vertical="top"/>
      <protection/>
    </xf>
    <xf numFmtId="0" fontId="0" fillId="22" borderId="38" xfId="0" applyFill="1" applyBorder="1" applyAlignment="1" applyProtection="1">
      <alignment horizontal="left" vertical="top" wrapText="1"/>
      <protection locked="0"/>
    </xf>
    <xf numFmtId="0" fontId="45" fillId="27" borderId="0" xfId="0" applyFont="1" applyFill="1" applyAlignment="1">
      <alignment horizontal="left" vertical="top" wrapText="1" indent="2"/>
    </xf>
    <xf numFmtId="0" fontId="45" fillId="27" borderId="0" xfId="0" applyFont="1" applyFill="1" applyAlignment="1">
      <alignment horizontal="left" vertical="top" wrapText="1" indent="2"/>
    </xf>
    <xf numFmtId="0" fontId="45" fillId="27" borderId="0" xfId="0" applyFont="1" applyFill="1" applyAlignment="1">
      <alignment horizontal="left" vertical="top" indent="2"/>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0" fontId="35" fillId="0" borderId="11" xfId="91" applyFont="1" applyBorder="1" applyAlignment="1">
      <alignment horizontal="left" vertical="top"/>
      <protection/>
    </xf>
    <xf numFmtId="0" fontId="35" fillId="0" borderId="12" xfId="91" applyFont="1" applyBorder="1" applyAlignment="1">
      <alignment horizontal="left" vertical="top"/>
      <protection/>
    </xf>
    <xf numFmtId="0" fontId="20" fillId="20" borderId="17" xfId="0" applyFont="1" applyFill="1" applyBorder="1" applyAlignment="1">
      <alignment horizontal="center" vertical="center" wrapText="1"/>
    </xf>
    <xf numFmtId="0" fontId="20" fillId="20" borderId="40" xfId="0" applyFont="1" applyFill="1" applyBorder="1" applyAlignment="1">
      <alignment horizontal="center" vertical="center" wrapText="1"/>
    </xf>
    <xf numFmtId="0" fontId="20" fillId="20" borderId="13" xfId="0" applyFont="1" applyFill="1" applyBorder="1" applyAlignment="1">
      <alignment horizontal="center" vertical="center" wrapText="1"/>
    </xf>
    <xf numFmtId="0" fontId="20" fillId="20" borderId="38" xfId="0" applyFont="1" applyFill="1" applyBorder="1" applyAlignment="1">
      <alignment horizontal="center" vertical="center" wrapText="1"/>
    </xf>
    <xf numFmtId="49" fontId="0" fillId="22" borderId="0" xfId="0" applyNumberFormat="1" applyFill="1" applyAlignment="1" applyProtection="1">
      <alignment horizontal="left"/>
      <protection locked="0"/>
    </xf>
    <xf numFmtId="14" fontId="0" fillId="22" borderId="18" xfId="95" applyNumberFormat="1" applyFill="1" applyBorder="1" applyAlignment="1" applyProtection="1">
      <alignment horizontal="center" vertical="top" wrapText="1"/>
      <protection locked="0"/>
    </xf>
    <xf numFmtId="14" fontId="0" fillId="22" borderId="38" xfId="95" applyNumberFormat="1" applyFont="1" applyFill="1" applyBorder="1" applyAlignment="1" applyProtection="1">
      <alignment horizontal="center" vertical="top" wrapText="1"/>
      <protection locked="0"/>
    </xf>
    <xf numFmtId="49" fontId="0" fillId="22" borderId="18" xfId="95" applyNumberFormat="1" applyFill="1" applyBorder="1" applyAlignment="1" applyProtection="1">
      <alignment horizontal="left" vertical="top" wrapText="1"/>
      <protection locked="0"/>
    </xf>
    <xf numFmtId="49" fontId="0" fillId="22" borderId="13" xfId="95" applyNumberForma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38" xfId="95" applyNumberFormat="1" applyFont="1" applyFill="1" applyBorder="1" applyAlignment="1" applyProtection="1">
      <alignment horizontal="left" vertical="top" wrapText="1"/>
      <protection locked="0"/>
    </xf>
    <xf numFmtId="14" fontId="0" fillId="22" borderId="38" xfId="95" applyNumberFormat="1" applyFill="1" applyBorder="1" applyAlignment="1" applyProtection="1">
      <alignment horizontal="center" vertical="top" wrapText="1"/>
      <protection locked="0"/>
    </xf>
    <xf numFmtId="0" fontId="24" fillId="0" borderId="0" xfId="0" applyFont="1" applyAlignment="1">
      <alignment horizontal="center" vertical="center" wrapText="1"/>
    </xf>
    <xf numFmtId="0" fontId="0" fillId="0" borderId="39"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39" xfId="0" applyFont="1" applyBorder="1" applyAlignment="1">
      <alignment horizontal="left" wrapText="1"/>
    </xf>
    <xf numFmtId="0" fontId="0" fillId="0" borderId="0" xfId="0" applyFont="1" applyAlignment="1">
      <alignment horizontal="left" wrapText="1" indent="1"/>
    </xf>
    <xf numFmtId="49" fontId="0" fillId="22" borderId="0" xfId="0" applyNumberFormat="1" applyFont="1" applyFill="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49" fontId="0" fillId="0" borderId="18" xfId="0" applyNumberFormat="1" applyBorder="1" applyAlignment="1">
      <alignment horizontal="left" vertical="top" wrapText="1"/>
    </xf>
    <xf numFmtId="49" fontId="0" fillId="0" borderId="13" xfId="0" applyNumberFormat="1"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0" fillId="0" borderId="38" xfId="0" applyBorder="1" applyAlignment="1">
      <alignment horizontal="left" vertical="top" wrapText="1"/>
    </xf>
    <xf numFmtId="167" fontId="0" fillId="0" borderId="18" xfId="0" applyNumberFormat="1" applyBorder="1" applyAlignment="1">
      <alignment horizontal="center" vertical="top" wrapText="1"/>
    </xf>
    <xf numFmtId="167" fontId="0" fillId="0" borderId="38" xfId="0" applyNumberFormat="1" applyBorder="1" applyAlignment="1">
      <alignment horizontal="center"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38" xfId="0" applyFont="1" applyBorder="1" applyAlignment="1">
      <alignment horizontal="left" vertical="top" wrapText="1"/>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0" fillId="22" borderId="0" xfId="0" applyFont="1" applyFill="1" applyAlignment="1" applyProtection="1">
      <alignment horizontal="left"/>
      <protection locked="0"/>
    </xf>
    <xf numFmtId="0" fontId="0" fillId="22" borderId="0" xfId="0" applyFill="1" applyAlignment="1" applyProtection="1">
      <alignment horizontal="left"/>
      <protection locked="0"/>
    </xf>
    <xf numFmtId="0" fontId="45" fillId="27" borderId="0" xfId="0" applyFont="1" applyFill="1" applyAlignment="1">
      <alignment horizontal="left" vertical="top" indent="2"/>
    </xf>
    <xf numFmtId="10" fontId="0" fillId="0" borderId="18" xfId="95" applyNumberFormat="1" applyBorder="1" applyAlignment="1">
      <alignment horizontal="left" vertical="top" wrapText="1"/>
    </xf>
    <xf numFmtId="10" fontId="0" fillId="0" borderId="13" xfId="95" applyNumberFormat="1" applyBorder="1" applyAlignment="1">
      <alignment horizontal="left" vertical="top" wrapText="1"/>
    </xf>
    <xf numFmtId="10" fontId="0" fillId="0" borderId="13" xfId="95" applyNumberFormat="1" applyFont="1" applyBorder="1" applyAlignment="1">
      <alignment horizontal="left" vertical="top" wrapText="1"/>
    </xf>
    <xf numFmtId="10" fontId="0" fillId="0" borderId="38" xfId="95" applyNumberFormat="1" applyFont="1" applyBorder="1" applyAlignment="1">
      <alignment horizontal="left" vertical="top" wrapText="1"/>
    </xf>
    <xf numFmtId="14" fontId="0" fillId="0" borderId="18" xfId="95" applyNumberFormat="1" applyFont="1" applyBorder="1" applyAlignment="1">
      <alignment horizontal="center" vertical="top" wrapText="1"/>
    </xf>
    <xf numFmtId="14" fontId="0" fillId="0" borderId="38" xfId="95" applyNumberFormat="1" applyFont="1" applyBorder="1" applyAlignment="1">
      <alignment horizontal="center" vertical="top" wrapText="1"/>
    </xf>
    <xf numFmtId="14" fontId="0" fillId="0" borderId="18" xfId="95" applyNumberFormat="1" applyBorder="1" applyAlignment="1">
      <alignment horizontal="center" vertical="top" wrapText="1"/>
    </xf>
    <xf numFmtId="14" fontId="0" fillId="0" borderId="38" xfId="95" applyNumberFormat="1" applyBorder="1" applyAlignment="1">
      <alignment horizontal="center" vertical="top" wrapText="1"/>
    </xf>
    <xf numFmtId="167" fontId="0" fillId="0" borderId="18" xfId="95" applyNumberFormat="1" applyBorder="1" applyAlignment="1">
      <alignment horizontal="left" vertical="top" wrapText="1"/>
    </xf>
    <xf numFmtId="167" fontId="0" fillId="0" borderId="13" xfId="95" applyNumberFormat="1" applyBorder="1" applyAlignment="1">
      <alignment horizontal="left" vertical="top" wrapText="1"/>
    </xf>
    <xf numFmtId="0" fontId="0" fillId="22" borderId="13" xfId="0"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10" fontId="0" fillId="22" borderId="18" xfId="95" applyNumberFormat="1" applyFill="1" applyBorder="1" applyAlignment="1" applyProtection="1">
      <alignment horizontal="left" vertical="top" wrapText="1"/>
      <protection locked="0"/>
    </xf>
    <xf numFmtId="10" fontId="0" fillId="22" borderId="13" xfId="95" applyNumberFormat="1" applyFont="1" applyFill="1" applyBorder="1" applyAlignment="1" applyProtection="1">
      <alignment horizontal="left" vertical="top" wrapText="1"/>
      <protection locked="0"/>
    </xf>
    <xf numFmtId="10" fontId="0" fillId="22" borderId="38" xfId="95" applyNumberFormat="1" applyFont="1" applyFill="1" applyBorder="1" applyAlignment="1" applyProtection="1">
      <alignment horizontal="left" vertical="top" wrapText="1"/>
      <protection locked="0"/>
    </xf>
    <xf numFmtId="171" fontId="0" fillId="0" borderId="0" xfId="90" applyNumberFormat="1" applyAlignment="1">
      <alignment horizontal="left"/>
      <protection/>
    </xf>
    <xf numFmtId="0" fontId="41" fillId="0" borderId="0" xfId="90" applyFont="1" applyAlignment="1">
      <alignment horizontal="left" vertical="center" indent="1"/>
      <protection/>
    </xf>
    <xf numFmtId="0" fontId="0" fillId="0" borderId="14" xfId="90" applyBorder="1" applyAlignment="1">
      <alignment horizontal="left" vertical="center" wrapText="1"/>
      <protection/>
    </xf>
    <xf numFmtId="0" fontId="36" fillId="0" borderId="0" xfId="90" applyFont="1" applyAlignment="1">
      <alignment horizontal="left" vertical="center" wrapText="1"/>
      <protection/>
    </xf>
    <xf numFmtId="2" fontId="31" fillId="0" borderId="17" xfId="90" applyNumberFormat="1" applyFont="1" applyBorder="1" applyAlignment="1">
      <alignment horizontal="center" vertical="center"/>
      <protection/>
    </xf>
    <xf numFmtId="0" fontId="24" fillId="0" borderId="0" xfId="90" applyFont="1" applyAlignment="1">
      <alignment horizontal="left" vertical="center"/>
      <protection/>
    </xf>
    <xf numFmtId="0" fontId="0" fillId="0" borderId="0" xfId="90" applyAlignment="1">
      <alignment horizontal="center" vertical="center"/>
      <protection/>
    </xf>
    <xf numFmtId="0" fontId="33" fillId="0" borderId="14" xfId="90" applyFont="1" applyBorder="1" applyAlignment="1">
      <alignment horizontal="center" vertical="center" wrapText="1"/>
      <protection/>
    </xf>
    <xf numFmtId="168" fontId="0" fillId="0" borderId="13" xfId="90" applyNumberFormat="1" applyBorder="1" applyAlignment="1">
      <alignment horizontal="left"/>
      <protection/>
    </xf>
    <xf numFmtId="49" fontId="0" fillId="22" borderId="32" xfId="90" applyNumberFormat="1" applyFill="1" applyBorder="1" applyAlignment="1" applyProtection="1">
      <alignment horizontal="left" vertical="top" wrapText="1"/>
      <protection locked="0"/>
    </xf>
    <xf numFmtId="49" fontId="0" fillId="22" borderId="10" xfId="90" applyNumberFormat="1" applyFill="1" applyBorder="1" applyAlignment="1" applyProtection="1">
      <alignment horizontal="left" vertical="top" wrapText="1"/>
      <protection locked="0"/>
    </xf>
    <xf numFmtId="49" fontId="0" fillId="22" borderId="19" xfId="90" applyNumberFormat="1" applyFill="1" applyBorder="1" applyAlignment="1" applyProtection="1">
      <alignment horizontal="left" vertical="top" wrapText="1"/>
      <protection locked="0"/>
    </xf>
    <xf numFmtId="0" fontId="0" fillId="0" borderId="17" xfId="90" applyBorder="1" applyAlignment="1">
      <alignment horizontal="center" vertical="center"/>
      <protection/>
    </xf>
    <xf numFmtId="49" fontId="0" fillId="0" borderId="0" xfId="90" applyNumberFormat="1" applyAlignment="1" applyProtection="1">
      <alignment horizontal="left"/>
      <protection locked="0"/>
    </xf>
    <xf numFmtId="0" fontId="43" fillId="0" borderId="0" xfId="90" applyFont="1" applyAlignment="1">
      <alignment horizontal="center" vertical="top" wrapText="1"/>
      <protection/>
    </xf>
    <xf numFmtId="171" fontId="0" fillId="0" borderId="13" xfId="90" applyNumberFormat="1" applyBorder="1" applyAlignment="1">
      <alignment horizontal="left"/>
      <protection/>
    </xf>
    <xf numFmtId="0" fontId="0" fillId="0" borderId="14" xfId="90" applyBorder="1" applyAlignment="1">
      <alignment horizontal="left" vertical="center"/>
      <protection/>
    </xf>
    <xf numFmtId="0" fontId="21" fillId="0" borderId="14" xfId="90" applyFont="1" applyBorder="1" applyAlignment="1">
      <alignment horizontal="center" vertical="center"/>
      <protection/>
    </xf>
    <xf numFmtId="0" fontId="38" fillId="0" borderId="0" xfId="0" applyFont="1" applyAlignment="1" quotePrefix="1">
      <alignment horizontal="left" vertical="center"/>
    </xf>
    <xf numFmtId="0" fontId="38" fillId="0" borderId="0" xfId="0" applyFont="1" applyAlignment="1">
      <alignment horizontal="left" vertical="center"/>
    </xf>
    <xf numFmtId="0" fontId="39" fillId="0" borderId="0" xfId="0" applyFont="1" applyAlignment="1">
      <alignment horizontal="center"/>
    </xf>
    <xf numFmtId="0" fontId="38" fillId="0" borderId="0" xfId="0" applyFont="1" applyAlignment="1">
      <alignment horizontal="center" vertical="top"/>
    </xf>
    <xf numFmtId="0" fontId="38" fillId="0" borderId="0" xfId="0" applyFont="1" applyAlignment="1">
      <alignment horizontal="right" vertical="center"/>
    </xf>
    <xf numFmtId="169" fontId="1" fillId="22" borderId="18" xfId="87" applyFont="1" applyFill="1" applyBorder="1" applyAlignment="1" applyProtection="1">
      <alignment horizontal="left"/>
      <protection locked="0"/>
    </xf>
    <xf numFmtId="169" fontId="1" fillId="22" borderId="13" xfId="87" applyFont="1" applyFill="1" applyBorder="1" applyAlignment="1" applyProtection="1">
      <alignment horizontal="left"/>
      <protection locked="0"/>
    </xf>
    <xf numFmtId="169" fontId="1" fillId="22" borderId="38" xfId="87" applyFont="1" applyFill="1" applyBorder="1" applyAlignment="1" applyProtection="1">
      <alignment horizontal="left"/>
      <protection locked="0"/>
    </xf>
    <xf numFmtId="0" fontId="0" fillId="0" borderId="18" xfId="90" applyBorder="1" applyAlignment="1">
      <alignment horizontal="center" vertical="top" wrapText="1"/>
      <protection/>
    </xf>
    <xf numFmtId="0" fontId="0" fillId="0" borderId="38" xfId="90" applyBorder="1" applyAlignment="1">
      <alignment horizontal="center" vertical="top" wrapText="1"/>
      <protection/>
    </xf>
    <xf numFmtId="0" fontId="0" fillId="0" borderId="18" xfId="90" applyBorder="1" applyAlignment="1">
      <alignment horizontal="left" vertical="top" wrapText="1"/>
      <protection/>
    </xf>
    <xf numFmtId="0" fontId="0" fillId="0" borderId="38" xfId="90" applyBorder="1" applyAlignment="1">
      <alignment horizontal="left" vertical="top" wrapText="1"/>
      <protection/>
    </xf>
    <xf numFmtId="49" fontId="0" fillId="0" borderId="18" xfId="90" applyNumberFormat="1" applyBorder="1" applyAlignment="1">
      <alignment horizontal="left" vertical="top" wrapText="1"/>
      <protection/>
    </xf>
    <xf numFmtId="0" fontId="0" fillId="0" borderId="13" xfId="90" applyBorder="1" applyAlignment="1">
      <alignment horizontal="left" vertical="top" wrapText="1"/>
      <protection/>
    </xf>
    <xf numFmtId="0" fontId="1" fillId="0" borderId="16" xfId="87" applyNumberFormat="1" applyFont="1" applyBorder="1" applyAlignment="1">
      <alignment horizontal="left" wrapText="1"/>
    </xf>
    <xf numFmtId="0" fontId="21" fillId="0" borderId="0" xfId="90" applyFont="1" applyAlignment="1">
      <alignment horizontal="left" vertical="center"/>
      <protection/>
    </xf>
    <xf numFmtId="10" fontId="1" fillId="22" borderId="14" xfId="90" applyNumberFormat="1" applyFont="1" applyFill="1" applyBorder="1" applyAlignment="1" applyProtection="1">
      <alignment horizontal="center"/>
      <protection locked="0"/>
    </xf>
    <xf numFmtId="0" fontId="1" fillId="0" borderId="14" xfId="90" applyFont="1" applyBorder="1" applyAlignment="1">
      <alignment horizontal="left"/>
      <protection/>
    </xf>
    <xf numFmtId="0" fontId="24" fillId="0" borderId="14" xfId="90" applyFont="1" applyBorder="1" applyAlignment="1">
      <alignment horizontal="center" vertical="center"/>
      <protection/>
    </xf>
    <xf numFmtId="0" fontId="1" fillId="0" borderId="14" xfId="90" applyFont="1" applyBorder="1" applyAlignment="1">
      <alignment horizontal="left" wrapText="1"/>
      <protection/>
    </xf>
    <xf numFmtId="4" fontId="24" fillId="0" borderId="14" xfId="90" applyNumberFormat="1" applyFont="1" applyBorder="1" applyAlignment="1">
      <alignment horizontal="center" vertical="center" wrapText="1"/>
      <protection/>
    </xf>
    <xf numFmtId="0" fontId="0" fillId="0" borderId="14" xfId="0" applyFont="1" applyBorder="1" applyAlignment="1">
      <alignment horizontal="center"/>
    </xf>
    <xf numFmtId="0" fontId="24" fillId="0" borderId="32" xfId="0" applyFont="1" applyBorder="1" applyAlignment="1">
      <alignment horizontal="left" wrapText="1"/>
    </xf>
    <xf numFmtId="0" fontId="24" fillId="0" borderId="10" xfId="0" applyFont="1" applyBorder="1" applyAlignment="1">
      <alignment horizontal="left" wrapText="1"/>
    </xf>
    <xf numFmtId="0" fontId="24" fillId="0" borderId="19" xfId="0" applyFont="1" applyBorder="1" applyAlignment="1">
      <alignment horizontal="left" wrapText="1"/>
    </xf>
    <xf numFmtId="0" fontId="28" fillId="22" borderId="11" xfId="0" applyFont="1" applyFill="1" applyBorder="1" applyAlignment="1" applyProtection="1">
      <alignment horizontal="left" wrapText="1"/>
      <protection locked="0"/>
    </xf>
    <xf numFmtId="0" fontId="28" fillId="22" borderId="0" xfId="0" applyFont="1" applyFill="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lignment horizontal="left"/>
    </xf>
    <xf numFmtId="170" fontId="0" fillId="0" borderId="13" xfId="0" applyNumberFormat="1" applyFont="1" applyBorder="1" applyAlignment="1">
      <alignment horizontal="left"/>
    </xf>
    <xf numFmtId="0" fontId="28" fillId="0" borderId="0" xfId="0" applyFont="1" applyAlignment="1">
      <alignment horizontal="center" vertical="top" wrapText="1"/>
    </xf>
    <xf numFmtId="4" fontId="28" fillId="7" borderId="28" xfId="0" applyNumberFormat="1" applyFont="1" applyFill="1" applyBorder="1" applyAlignment="1">
      <alignment horizontal="center" vertical="center"/>
    </xf>
    <xf numFmtId="4" fontId="28" fillId="7" borderId="15" xfId="0" applyNumberFormat="1" applyFont="1" applyFill="1" applyBorder="1" applyAlignment="1">
      <alignment horizontal="center" vertical="center"/>
    </xf>
    <xf numFmtId="0" fontId="28" fillId="7" borderId="37" xfId="0" applyFont="1" applyFill="1" applyBorder="1" applyAlignment="1">
      <alignment horizontal="center" vertical="center" wrapText="1"/>
    </xf>
    <xf numFmtId="0" fontId="28" fillId="7" borderId="12" xfId="0" applyFont="1" applyFill="1" applyBorder="1" applyAlignment="1">
      <alignment horizontal="center" vertical="center" wrapText="1"/>
    </xf>
    <xf numFmtId="168" fontId="0" fillId="0" borderId="0" xfId="0" applyNumberFormat="1" applyFont="1" applyAlignment="1">
      <alignment horizontal="left"/>
    </xf>
    <xf numFmtId="49" fontId="0" fillId="0" borderId="0" xfId="0" applyNumberFormat="1" applyFont="1" applyAlignment="1">
      <alignment horizontal="left"/>
    </xf>
    <xf numFmtId="0" fontId="0" fillId="0" borderId="0" xfId="0" applyFont="1" applyAlignment="1">
      <alignment horizontal="left"/>
    </xf>
    <xf numFmtId="171" fontId="0" fillId="0" borderId="13" xfId="0" applyNumberFormat="1" applyFont="1" applyBorder="1" applyAlignment="1">
      <alignment horizontal="left" vertical="center"/>
    </xf>
    <xf numFmtId="0" fontId="28" fillId="7" borderId="36" xfId="0" applyFont="1" applyFill="1" applyBorder="1" applyAlignment="1">
      <alignment horizontal="center" vertical="center" shrinkToFit="1"/>
    </xf>
    <xf numFmtId="0" fontId="28" fillId="7" borderId="11" xfId="0" applyFont="1" applyFill="1" applyBorder="1" applyAlignment="1">
      <alignment horizontal="center" vertical="center" shrinkToFit="1"/>
    </xf>
    <xf numFmtId="170" fontId="0" fillId="0" borderId="13" xfId="0" applyNumberFormat="1" applyFont="1" applyBorder="1" applyAlignment="1">
      <alignment horizontal="left" vertical="center"/>
    </xf>
    <xf numFmtId="0" fontId="24" fillId="24" borderId="21"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38" xfId="0" applyFont="1" applyFill="1" applyBorder="1" applyAlignment="1">
      <alignment horizontal="center" vertical="center" wrapText="1"/>
    </xf>
    <xf numFmtId="4" fontId="24" fillId="24" borderId="30" xfId="0" applyNumberFormat="1" applyFont="1" applyFill="1" applyBorder="1" applyAlignment="1">
      <alignment horizontal="center" vertical="center" shrinkToFit="1"/>
    </xf>
    <xf numFmtId="4" fontId="24" fillId="24" borderId="15" xfId="0" applyNumberFormat="1" applyFont="1" applyFill="1" applyBorder="1" applyAlignment="1">
      <alignment horizontal="center" vertical="center" shrinkToFit="1"/>
    </xf>
    <xf numFmtId="4" fontId="24" fillId="24" borderId="16" xfId="0" applyNumberFormat="1" applyFont="1" applyFill="1" applyBorder="1" applyAlignment="1">
      <alignment horizontal="center" vertical="center" shrinkToFit="1"/>
    </xf>
    <xf numFmtId="0" fontId="1" fillId="21" borderId="23" xfId="0" applyFont="1" applyFill="1" applyBorder="1" applyAlignment="1" applyProtection="1">
      <alignment vertical="center" wrapText="1"/>
      <protection/>
    </xf>
    <xf numFmtId="0" fontId="1" fillId="22" borderId="23" xfId="0"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6" borderId="24" xfId="0" applyFont="1" applyFill="1" applyBorder="1" applyAlignment="1" applyProtection="1">
      <alignment vertical="center" wrapText="1"/>
      <protection/>
    </xf>
    <xf numFmtId="0" fontId="0" fillId="26" borderId="24" xfId="0" applyFont="1" applyFill="1" applyBorder="1" applyAlignment="1" applyProtection="1">
      <alignment horizontal="center" vertical="center" wrapText="1"/>
      <protection/>
    </xf>
    <xf numFmtId="164" fontId="0" fillId="22" borderId="24" xfId="106" applyFill="1" applyBorder="1" applyAlignment="1" applyProtection="1">
      <alignment vertical="center" shrinkToFit="1"/>
      <protection/>
    </xf>
    <xf numFmtId="164" fontId="0" fillId="22" borderId="34" xfId="106"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Ênfase1" xfId="26"/>
    <cellStyle name="20% - Ênfase2" xfId="27"/>
    <cellStyle name="20% - Ênfase3" xfId="28"/>
    <cellStyle name="20% - Ênfase4" xfId="29"/>
    <cellStyle name="20% - Ênfase5" xfId="30"/>
    <cellStyle name="20% - Ênfase6" xfId="31"/>
    <cellStyle name="40% - Accent1" xfId="32"/>
    <cellStyle name="40% - Accent2" xfId="33"/>
    <cellStyle name="40% - Accent3" xfId="34"/>
    <cellStyle name="40% - Accent4" xfId="35"/>
    <cellStyle name="40% - Accent5" xfId="36"/>
    <cellStyle name="40% - Accent6" xfId="37"/>
    <cellStyle name="40% - Ênfase1" xfId="38"/>
    <cellStyle name="40% - Ênfase2" xfId="39"/>
    <cellStyle name="40% - Ênfase3" xfId="40"/>
    <cellStyle name="40% - Ênfase4" xfId="41"/>
    <cellStyle name="40% - Ênfase5" xfId="42"/>
    <cellStyle name="40% - Ênfase6" xfId="43"/>
    <cellStyle name="60% - Accent1" xfId="44"/>
    <cellStyle name="60% - Accent2" xfId="45"/>
    <cellStyle name="60% - Accent3" xfId="46"/>
    <cellStyle name="60% - Accent4" xfId="47"/>
    <cellStyle name="60% - Accent5" xfId="48"/>
    <cellStyle name="60% - Accent6" xfId="49"/>
    <cellStyle name="60% - Ênfase1" xfId="50"/>
    <cellStyle name="60% - Ênfase2" xfId="51"/>
    <cellStyle name="60% - Ênfase3" xfId="52"/>
    <cellStyle name="60% - Ênfase4" xfId="53"/>
    <cellStyle name="60% - Ênfase5" xfId="54"/>
    <cellStyle name="60% - Ênfase6" xfId="55"/>
    <cellStyle name="Accent1" xfId="56"/>
    <cellStyle name="Accent2" xfId="57"/>
    <cellStyle name="Accent3" xfId="58"/>
    <cellStyle name="Accent4" xfId="59"/>
    <cellStyle name="Accent5" xfId="60"/>
    <cellStyle name="Accent6" xfId="61"/>
    <cellStyle name="Bad" xfId="62"/>
    <cellStyle name="Bom" xfId="63"/>
    <cellStyle name="Calculation" xfId="64"/>
    <cellStyle name="Cálculo" xfId="65"/>
    <cellStyle name="Célula de Verificação" xfId="66"/>
    <cellStyle name="Célula Vinculada" xfId="67"/>
    <cellStyle name="Check Cell" xfId="68"/>
    <cellStyle name="Ênfase1" xfId="69"/>
    <cellStyle name="Ênfase2" xfId="70"/>
    <cellStyle name="Ênfase3" xfId="71"/>
    <cellStyle name="Ênfase4" xfId="72"/>
    <cellStyle name="Ênfase5" xfId="73"/>
    <cellStyle name="Ênfase6" xfId="74"/>
    <cellStyle name="Entrada" xfId="75"/>
    <cellStyle name="Excel Built-in Normal" xfId="76"/>
    <cellStyle name="Explanatory Text" xfId="77"/>
    <cellStyle name="Good" xfId="78"/>
    <cellStyle name="Heading 1" xfId="79"/>
    <cellStyle name="Heading 2" xfId="80"/>
    <cellStyle name="Heading 3" xfId="81"/>
    <cellStyle name="Heading 4" xfId="82"/>
    <cellStyle name="Ruim" xfId="83"/>
    <cellStyle name="Input" xfId="84"/>
    <cellStyle name="Linked Cell" xfId="85"/>
    <cellStyle name="Moeda 2" xfId="86"/>
    <cellStyle name="Moeda_Composicao BDI v2.1" xfId="87"/>
    <cellStyle name="Neutro" xfId="88"/>
    <cellStyle name="Neutral" xfId="89"/>
    <cellStyle name="Normal 2" xfId="90"/>
    <cellStyle name="Normal_FICHA DE VERIFICAÇÃO PRELIMINAR - Plano R" xfId="91"/>
    <cellStyle name="Nota" xfId="92"/>
    <cellStyle name="Note" xfId="93"/>
    <cellStyle name="Output" xfId="94"/>
    <cellStyle name="Porcentagem" xfId="95"/>
    <cellStyle name="Saída"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Vírgula" xfId="106"/>
    <cellStyle name="Warning Text" xfId="107"/>
  </cellStyles>
  <dxfs count="166">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condense val="0"/>
        <extend val="0"/>
      </font>
      <border>
        <top style="thin"/>
      </border>
    </dxf>
    <dxf>
      <fill>
        <patternFill>
          <bgColor indexed="55"/>
        </patternFill>
      </fill>
      <border/>
    </dxf>
    <dxf>
      <font>
        <color indexed="9"/>
        <condense val="0"/>
        <extend val="0"/>
      </font>
      <fill>
        <patternFill patternType="none"/>
      </fill>
      <border>
        <top/>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font>
      <fill>
        <patternFill>
          <bgColor indexed="55"/>
        </patternFill>
      </fill>
      <border>
        <top style="thin"/>
      </border>
    </dxf>
    <dxf>
      <font>
        <color indexed="9"/>
        <condense val="0"/>
        <extend val="0"/>
      </font>
      <fill>
        <patternFill patternType="none"/>
      </fill>
      <border>
        <left/>
        <right/>
        <top/>
        <bottom/>
      </border>
    </dxf>
    <dxf>
      <font>
        <b/>
        <i val="0"/>
        <color indexed="9"/>
        <condense val="0"/>
        <extend val="0"/>
      </font>
      <fill>
        <patternFill>
          <bgColor indexed="10"/>
        </patternFill>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bgColor indexed="43"/>
        </patternFill>
      </fill>
      <border/>
    </dxf>
    <dxf>
      <font>
        <color indexed="9"/>
        <condense val="0"/>
        <extend val="0"/>
      </font>
      <fill>
        <patternFill patternType="none"/>
      </fill>
      <border>
        <left/>
        <right/>
        <top/>
        <bottom/>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b/>
        <i val="0"/>
      </font>
      <fill>
        <patternFill>
          <bgColor rgb="FFC0C0C0"/>
        </patternFill>
      </fill>
      <border/>
    </dxf>
    <dxf>
      <font>
        <b/>
        <i val="0"/>
      </font>
      <fill>
        <patternFill>
          <bgColor rgb="FF969696"/>
        </patternFill>
      </fill>
      <border/>
    </dxf>
    <dxf>
      <font>
        <color theme="1"/>
      </font>
      <border/>
    </dxf>
    <dxf>
      <font>
        <b/>
        <i val="0"/>
      </font>
      <fill>
        <patternFill>
          <bgColor rgb="FFC0C0C0"/>
        </patternFill>
      </fill>
      <border/>
    </dxf>
    <dxf>
      <font>
        <b/>
        <i val="0"/>
      </font>
      <fill>
        <patternFill>
          <bgColor rgb="FF969696"/>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color indexed="9"/>
        <condense val="0"/>
        <extend val="0"/>
      </font>
      <fill>
        <patternFill patternType="none"/>
      </fill>
      <border>
        <left/>
        <right/>
        <top/>
        <bottom/>
      </border>
    </dxf>
    <dxf>
      <fill>
        <patternFill patternType="none"/>
      </fill>
      <border/>
    </dxf>
    <dxf>
      <font>
        <color indexed="9"/>
        <condense val="0"/>
        <extend val="0"/>
      </font>
      <fill>
        <patternFill patternType="none"/>
      </fill>
      <border>
        <left/>
        <right/>
        <top/>
        <bottom/>
      </border>
    </dxf>
    <dxf>
      <font>
        <color indexed="9"/>
        <condense val="0"/>
        <extend val="0"/>
      </font>
      <fill>
        <patternFill>
          <bgColor indexed="9"/>
        </patternFill>
      </fill>
      <border>
        <left/>
        <right/>
        <top/>
        <bottom/>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2.emf" /><Relationship Id="rId5" Type="http://schemas.openxmlformats.org/officeDocument/2006/relationships/image" Target="../media/image1.emf" /></Relationships>
</file>

<file path=xl/drawings/_rels/drawing4.xml.rels><?xml version="1.0" encoding="utf-8" standalone="yes"?><Relationships xmlns="http://schemas.openxmlformats.org/package/2006/relationships"><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2.emf" /><Relationship Id="rId6" Type="http://schemas.openxmlformats.org/officeDocument/2006/relationships/image" Target="../media/image13.emf" /><Relationship Id="rId7" Type="http://schemas.openxmlformats.org/officeDocument/2006/relationships/image" Target="../media/image14.emf" /><Relationship Id="rId8" Type="http://schemas.openxmlformats.org/officeDocument/2006/relationships/image" Target="../media/image5.emf" /><Relationship Id="rId9"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3.emf" /><Relationship Id="rId4" Type="http://schemas.openxmlformats.org/officeDocument/2006/relationships/image" Target="../media/image2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28.emf" /><Relationship Id="rId5" Type="http://schemas.openxmlformats.org/officeDocument/2006/relationships/image" Target="../media/image26.emf" /><Relationship Id="rId6" Type="http://schemas.openxmlformats.org/officeDocument/2006/relationships/image" Target="../media/image28.emf" /><Relationship Id="rId7" Type="http://schemas.openxmlformats.org/officeDocument/2006/relationships/image" Target="../media/image2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7.emf" /><Relationship Id="rId6" Type="http://schemas.openxmlformats.org/officeDocument/2006/relationships/image" Target="../media/image26.emf" /><Relationship Id="rId7" Type="http://schemas.openxmlformats.org/officeDocument/2006/relationships/image" Target="../media/image23.emf" /><Relationship Id="rId8" Type="http://schemas.openxmlformats.org/officeDocument/2006/relationships/image" Target="../media/image27.emf" /><Relationship Id="rId9" Type="http://schemas.openxmlformats.org/officeDocument/2006/relationships/image" Target="../media/image27.emf" /><Relationship Id="rId10" Type="http://schemas.openxmlformats.org/officeDocument/2006/relationships/image" Target="../media/image26.emf" /><Relationship Id="rId11" Type="http://schemas.openxmlformats.org/officeDocument/2006/relationships/image" Target="../media/image2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3.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7.emf" /><Relationship Id="rId8" Type="http://schemas.openxmlformats.org/officeDocument/2006/relationships/image" Target="../media/image1.emf" /><Relationship Id="rId9" Type="http://schemas.openxmlformats.org/officeDocument/2006/relationships/image" Target="../media/image20.emf" /><Relationship Id="rId10" Type="http://schemas.openxmlformats.org/officeDocument/2006/relationships/image" Target="../media/image21.emf" /><Relationship Id="rId11" Type="http://schemas.openxmlformats.org/officeDocument/2006/relationships/image" Target="../media/image22.emf" /><Relationship Id="rId12" Type="http://schemas.openxmlformats.org/officeDocument/2006/relationships/image" Target="../media/image23.emf" /><Relationship Id="rId13" Type="http://schemas.openxmlformats.org/officeDocument/2006/relationships/image" Target="../media/image24.emf" /><Relationship Id="rId14" Type="http://schemas.openxmlformats.org/officeDocument/2006/relationships/image" Target="../media/image25.emf" /><Relationship Id="rId15" Type="http://schemas.openxmlformats.org/officeDocument/2006/relationships/image" Target="../media/image26.emf" /><Relationship Id="rId16" Type="http://schemas.openxmlformats.org/officeDocument/2006/relationships/image" Target="../media/image20.emf" /><Relationship Id="rId17" Type="http://schemas.openxmlformats.org/officeDocument/2006/relationships/image" Target="../media/image21.emf" /><Relationship Id="rId18" Type="http://schemas.openxmlformats.org/officeDocument/2006/relationships/image" Target="../media/image22.emf" /><Relationship Id="rId19" Type="http://schemas.openxmlformats.org/officeDocument/2006/relationships/image" Target="../media/image23.emf" /><Relationship Id="rId20" Type="http://schemas.openxmlformats.org/officeDocument/2006/relationships/image" Target="../media/image24.emf" /><Relationship Id="rId21" Type="http://schemas.openxmlformats.org/officeDocument/2006/relationships/image" Target="../media/image23.emf" /><Relationship Id="rId22" Type="http://schemas.openxmlformats.org/officeDocument/2006/relationships/image" Target="../media/image25.emf" /><Relationship Id="rId23" Type="http://schemas.openxmlformats.org/officeDocument/2006/relationships/image" Target="../media/image23.emf" /><Relationship Id="rId24" Type="http://schemas.openxmlformats.org/officeDocument/2006/relationships/image" Target="../media/image25.emf" /><Relationship Id="rId25" Type="http://schemas.openxmlformats.org/officeDocument/2006/relationships/image" Target="../media/image23.emf" /><Relationship Id="rId26" Type="http://schemas.openxmlformats.org/officeDocument/2006/relationships/image" Target="../media/image26.emf" /><Relationship Id="rId27" Type="http://schemas.openxmlformats.org/officeDocument/2006/relationships/image" Target="../media/image23.emf" /><Relationship Id="rId28" Type="http://schemas.openxmlformats.org/officeDocument/2006/relationships/image" Target="../media/image26.emf" /><Relationship Id="rId29"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156124" name="Object 476"/>
        <xdr:cNvPicPr preferRelativeResize="1">
          <a:picLocks noChangeAspect="1"/>
        </xdr:cNvPicPr>
      </xdr:nvPicPr>
      <xdr:blipFill>
        <a:blip r:embed="rId3"/>
        <a:stretch>
          <a:fillRect/>
        </a:stretch>
      </xdr:blipFill>
      <xdr:spPr bwMode="auto">
        <a:xfrm>
          <a:off x="28575" y="19050"/>
          <a:ext cx="1790700" cy="381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19050</xdr:rowOff>
    </xdr:from>
    <xdr:to>
      <xdr:col>11</xdr:col>
      <xdr:colOff>1009650</xdr:colOff>
      <xdr:row>2</xdr:row>
      <xdr:rowOff>76200</xdr:rowOff>
    </xdr:to>
    <xdr:pic>
      <xdr:nvPicPr>
        <xdr:cNvPr id="185899" name="Object 5675"/>
        <xdr:cNvPicPr preferRelativeResize="1">
          <a:picLocks noChangeAspect="1"/>
        </xdr:cNvPicPr>
      </xdr:nvPicPr>
      <xdr:blipFill>
        <a:blip r:embed="rId4"/>
        <a:stretch>
          <a:fillRect/>
        </a:stretch>
      </xdr:blipFill>
      <xdr:spPr bwMode="auto">
        <a:xfrm>
          <a:off x="638175" y="19050"/>
          <a:ext cx="1800225" cy="381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1104900</xdr:colOff>
      <xdr:row>1</xdr:row>
      <xdr:rowOff>190500</xdr:rowOff>
    </xdr:to>
    <xdr:pic>
      <xdr:nvPicPr>
        <xdr:cNvPr id="193696" name="Object 13472"/>
        <xdr:cNvPicPr preferRelativeResize="1">
          <a:picLocks noChangeAspect="1"/>
        </xdr:cNvPicPr>
      </xdr:nvPicPr>
      <xdr:blipFill>
        <a:blip r:embed="rId5"/>
        <a:stretch>
          <a:fillRect/>
        </a:stretch>
      </xdr:blipFill>
      <xdr:spPr bwMode="auto">
        <a:xfrm>
          <a:off x="876300" y="28575"/>
          <a:ext cx="1790700" cy="381000"/>
        </a:xfrm>
        <a:prstGeom prst="rect">
          <a:avLst/>
        </a:prstGeom>
        <a:noFill/>
        <a:ln>
          <a:noFill/>
        </a:ln>
      </xdr:spPr>
    </xdr:pic>
    <xdr:clientData/>
  </xdr:two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38100</xdr:rowOff>
    </xdr:from>
    <xdr:to>
      <xdr:col>12</xdr:col>
      <xdr:colOff>1133475</xdr:colOff>
      <xdr:row>2</xdr:row>
      <xdr:rowOff>95250</xdr:rowOff>
    </xdr:to>
    <xdr:pic>
      <xdr:nvPicPr>
        <xdr:cNvPr id="193474" name="Object 125890"/>
        <xdr:cNvPicPr preferRelativeResize="1">
          <a:picLocks noChangeAspect="1"/>
        </xdr:cNvPicPr>
      </xdr:nvPicPr>
      <xdr:blipFill>
        <a:blip r:embed="rId9"/>
        <a:stretch>
          <a:fillRect/>
        </a:stretch>
      </xdr:blipFill>
      <xdr:spPr bwMode="auto">
        <a:xfrm>
          <a:off x="57150" y="38100"/>
          <a:ext cx="1790700" cy="381000"/>
        </a:xfrm>
        <a:prstGeom prst="rect">
          <a:avLst/>
        </a:prstGeom>
        <a:noFill/>
        <a:ln>
          <a:noFill/>
        </a:ln>
      </xdr:spPr>
    </xdr:pic>
    <xdr:clientData/>
  </xdr:twoCellAnchor>
  <xdr:oneCellAnchor>
    <xdr:from>
      <xdr:col>11</xdr:col>
      <xdr:colOff>628650</xdr:colOff>
      <xdr:row>7</xdr:row>
      <xdr:rowOff>209550</xdr:rowOff>
    </xdr:from>
    <xdr:ext cx="1781175" cy="342900"/>
    <xdr:sp macro="[0]!EditarCRONO" textlink="">
      <xdr:nvSpPr>
        <xdr:cNvPr id="7" name="AddCFF"/>
        <xdr:cNvSpPr txBox="1">
          <a:spLocks noChangeArrowheads="1"/>
        </xdr:cNvSpPr>
      </xdr:nvSpPr>
      <xdr:spPr bwMode="auto">
        <a:xfrm>
          <a:off x="628650" y="1914525"/>
          <a:ext cx="1781175" cy="342900"/>
        </a:xfrm>
        <a:prstGeom prst="rect">
          <a:avLst/>
        </a:prstGeom>
        <a:solidFill>
          <a:srgbClr val="99FF99"/>
        </a:solidFill>
        <a:ln w="9525">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tabColor rgb="FFFFC000"/>
    <pageSetUpPr fitToPage="1"/>
  </sheetPr>
  <dimension ref="A1:Y257"/>
  <sheetViews>
    <sheetView showGridLines="0" zoomScale="85" zoomScaleNormal="85" zoomScaleSheetLayoutView="100" workbookViewId="0" topLeftCell="A1">
      <selection activeCell="Q32" sqref="Q32:X32"/>
    </sheetView>
  </sheetViews>
  <sheetFormatPr defaultColWidth="9.140625" defaultRowHeight="12.75"/>
  <cols>
    <col min="1" max="2" width="8.7109375" style="5" customWidth="1"/>
    <col min="3" max="5" width="8.7109375" style="0" customWidth="1"/>
    <col min="6" max="8" width="8.7109375" style="4" customWidth="1"/>
    <col min="9" max="24" width="8.7109375" style="0" customWidth="1"/>
  </cols>
  <sheetData>
    <row r="1" spans="1:24" ht="12.75" customHeight="1">
      <c r="A1" s="88">
        <v>27476</v>
      </c>
      <c r="B1" s="222" t="s">
        <v>2</v>
      </c>
      <c r="C1" s="222"/>
      <c r="D1" s="222"/>
      <c r="E1" s="222"/>
      <c r="F1" s="222"/>
      <c r="G1" s="222"/>
      <c r="H1" s="222"/>
      <c r="I1" s="222"/>
      <c r="J1" s="222"/>
      <c r="K1" s="222"/>
      <c r="L1" s="222"/>
      <c r="M1" s="222"/>
      <c r="N1" s="222"/>
      <c r="O1" s="222"/>
      <c r="P1" s="222"/>
      <c r="Q1" s="222"/>
      <c r="R1" s="222"/>
      <c r="S1" s="222"/>
      <c r="T1" s="222"/>
      <c r="U1" s="222"/>
      <c r="V1" s="222"/>
      <c r="W1" s="222"/>
      <c r="X1" s="223"/>
    </row>
    <row r="2" spans="1:24" ht="13.6" customHeight="1">
      <c r="A2" s="90" t="s">
        <v>228</v>
      </c>
      <c r="B2" s="224"/>
      <c r="C2" s="224"/>
      <c r="D2" s="224"/>
      <c r="E2" s="224"/>
      <c r="F2" s="224"/>
      <c r="G2" s="224"/>
      <c r="H2" s="224"/>
      <c r="I2" s="224"/>
      <c r="J2" s="224"/>
      <c r="K2" s="224"/>
      <c r="L2" s="224"/>
      <c r="M2" s="224"/>
      <c r="N2" s="224"/>
      <c r="O2" s="224"/>
      <c r="P2" s="224"/>
      <c r="Q2" s="224"/>
      <c r="R2" s="224"/>
      <c r="S2" s="224"/>
      <c r="T2" s="224"/>
      <c r="U2" s="224"/>
      <c r="V2" s="224"/>
      <c r="W2" s="224"/>
      <c r="X2" s="225"/>
    </row>
    <row r="3" spans="1:8" ht="13.6" customHeight="1">
      <c r="A3"/>
      <c r="B3"/>
      <c r="F3"/>
      <c r="G3"/>
      <c r="H3"/>
    </row>
    <row r="4" spans="1:24" ht="12.75" customHeight="1">
      <c r="A4" s="234" t="s">
        <v>168</v>
      </c>
      <c r="B4" s="234"/>
      <c r="C4" s="234"/>
      <c r="D4" s="234"/>
      <c r="E4" s="234"/>
      <c r="F4" s="234"/>
      <c r="G4" s="234"/>
      <c r="H4" s="234"/>
      <c r="I4" s="234"/>
      <c r="J4" s="234"/>
      <c r="K4" s="234"/>
      <c r="L4" s="234"/>
      <c r="M4" s="234"/>
      <c r="N4" s="234"/>
      <c r="O4" s="234"/>
      <c r="P4" s="234"/>
      <c r="Q4" s="234"/>
      <c r="R4" s="234"/>
      <c r="S4" s="234"/>
      <c r="T4" s="234"/>
      <c r="U4" s="234"/>
      <c r="V4" s="234"/>
      <c r="W4" s="234"/>
      <c r="X4" s="234"/>
    </row>
    <row r="6" spans="1:24" s="5" customFormat="1" ht="25" customHeight="1">
      <c r="A6" s="235" t="s">
        <v>179</v>
      </c>
      <c r="B6" s="236"/>
      <c r="C6" s="236"/>
      <c r="D6" s="236"/>
      <c r="E6" s="236"/>
      <c r="F6" s="236"/>
      <c r="G6" s="236"/>
      <c r="H6" s="236"/>
      <c r="I6" s="236"/>
      <c r="J6" s="236"/>
      <c r="K6" s="236"/>
      <c r="L6" s="236"/>
      <c r="M6" s="236"/>
      <c r="N6" s="236"/>
      <c r="O6" s="236"/>
      <c r="P6" s="236"/>
      <c r="Q6" s="236"/>
      <c r="R6" s="236"/>
      <c r="S6" s="236"/>
      <c r="T6" s="236"/>
      <c r="U6" s="236"/>
      <c r="V6" s="236"/>
      <c r="W6" s="236"/>
      <c r="X6" s="236"/>
    </row>
    <row r="7" ht="12.75" customHeight="1"/>
    <row r="8" spans="1:25" ht="12.75" customHeight="1">
      <c r="A8" s="237" t="s">
        <v>23</v>
      </c>
      <c r="B8" s="237"/>
      <c r="C8" s="237"/>
      <c r="D8" s="237"/>
      <c r="E8" s="237"/>
      <c r="F8" s="237"/>
      <c r="G8" s="237"/>
      <c r="H8" s="237"/>
      <c r="I8" s="237"/>
      <c r="J8" s="237"/>
      <c r="K8" s="237"/>
      <c r="L8" s="237"/>
      <c r="M8" s="237"/>
      <c r="N8" s="237"/>
      <c r="O8" s="237"/>
      <c r="P8" s="237"/>
      <c r="Q8" s="237"/>
      <c r="R8" s="237"/>
      <c r="S8" s="237"/>
      <c r="T8" s="237"/>
      <c r="U8" s="237"/>
      <c r="V8" s="237"/>
      <c r="W8" s="237"/>
      <c r="X8" s="237"/>
      <c r="Y8" s="16"/>
    </row>
    <row r="9" spans="1:25" ht="6" customHeight="1">
      <c r="A9" s="38"/>
      <c r="B9" s="38"/>
      <c r="C9" s="38"/>
      <c r="D9" s="38"/>
      <c r="E9" s="38"/>
      <c r="F9" s="38"/>
      <c r="G9" s="38"/>
      <c r="H9" s="38"/>
      <c r="I9" s="38"/>
      <c r="J9" s="38"/>
      <c r="K9" s="38"/>
      <c r="L9" s="38"/>
      <c r="M9" s="38"/>
      <c r="N9" s="38"/>
      <c r="O9" s="38"/>
      <c r="P9" s="38"/>
      <c r="Q9" s="38"/>
      <c r="R9" s="38"/>
      <c r="S9" s="38"/>
      <c r="T9" s="38"/>
      <c r="U9" s="38"/>
      <c r="V9" s="38"/>
      <c r="W9" s="38"/>
      <c r="X9" s="38"/>
      <c r="Y9" s="16"/>
    </row>
    <row r="10" spans="1:24" ht="12.75" customHeight="1">
      <c r="A10" s="239" t="s">
        <v>169</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row>
    <row r="11" spans="1:24" ht="6" customHeight="1">
      <c r="A11" s="39"/>
      <c r="B11" s="39"/>
      <c r="C11" s="39"/>
      <c r="D11" s="39"/>
      <c r="E11" s="39"/>
      <c r="F11" s="39"/>
      <c r="G11" s="39"/>
      <c r="H11" s="39"/>
      <c r="I11" s="39"/>
      <c r="J11" s="39"/>
      <c r="K11" s="39"/>
      <c r="L11" s="39"/>
      <c r="M11" s="39"/>
      <c r="N11" s="39"/>
      <c r="O11" s="39"/>
      <c r="P11" s="39"/>
      <c r="Q11" s="39"/>
      <c r="R11" s="39"/>
      <c r="S11" s="39"/>
      <c r="T11" s="39"/>
      <c r="U11" s="39"/>
      <c r="V11" s="39"/>
      <c r="W11" s="39"/>
      <c r="X11" s="39"/>
    </row>
    <row r="12" spans="1:24" ht="25" customHeight="1">
      <c r="A12" s="239" t="s">
        <v>1</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row>
    <row r="14" spans="1:24" ht="12.75">
      <c r="A14" s="238" t="s">
        <v>24</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row>
    <row r="16" spans="1:24" ht="13.6">
      <c r="A16" s="209" t="s">
        <v>186</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row>
    <row r="17" spans="1:24" ht="6" customHeight="1">
      <c r="A17" s="38"/>
      <c r="B17" s="38"/>
      <c r="C17" s="38"/>
      <c r="D17" s="38"/>
      <c r="E17" s="38"/>
      <c r="F17" s="38"/>
      <c r="G17" s="38"/>
      <c r="H17" s="38"/>
      <c r="I17" s="38"/>
      <c r="J17" s="38"/>
      <c r="K17" s="38"/>
      <c r="L17" s="38"/>
      <c r="M17" s="38"/>
      <c r="N17" s="38"/>
      <c r="O17" s="38"/>
      <c r="P17" s="38"/>
      <c r="Q17" s="38"/>
      <c r="R17" s="38"/>
      <c r="S17" s="38"/>
      <c r="T17" s="38"/>
      <c r="U17" s="38"/>
      <c r="V17" s="38"/>
      <c r="W17" s="38"/>
      <c r="X17" s="38"/>
    </row>
    <row r="18" spans="1:24" ht="13.6">
      <c r="A18" s="211" t="s">
        <v>187</v>
      </c>
      <c r="B18" s="211"/>
      <c r="C18" s="212"/>
      <c r="D18" s="212"/>
      <c r="E18" s="212"/>
      <c r="F18" s="212"/>
      <c r="G18" s="212"/>
      <c r="H18" s="212"/>
      <c r="I18" s="212"/>
      <c r="J18" s="212"/>
      <c r="K18" s="212"/>
      <c r="L18" s="212"/>
      <c r="M18" s="212"/>
      <c r="N18" s="212"/>
      <c r="O18" s="212"/>
      <c r="P18" s="212"/>
      <c r="Q18" s="212"/>
      <c r="R18" s="212"/>
      <c r="S18" s="212"/>
      <c r="T18" s="212"/>
      <c r="U18" s="212"/>
      <c r="V18" s="212"/>
      <c r="W18" s="212"/>
      <c r="X18" s="212"/>
    </row>
    <row r="21" ht="12.75">
      <c r="A21"/>
    </row>
    <row r="22" spans="1:25" ht="12.75" customHeight="1">
      <c r="A22" s="209" t="s">
        <v>189</v>
      </c>
      <c r="B22" s="210"/>
      <c r="C22" s="210"/>
      <c r="D22" s="210"/>
      <c r="E22" s="210"/>
      <c r="F22" s="210"/>
      <c r="G22" s="210"/>
      <c r="H22" s="210"/>
      <c r="I22" s="210"/>
      <c r="J22" s="190"/>
      <c r="K22" s="190"/>
      <c r="L22" s="190"/>
      <c r="M22" s="190"/>
      <c r="N22" s="190"/>
      <c r="O22" s="190"/>
      <c r="P22" s="190"/>
      <c r="Q22" s="190"/>
      <c r="R22" s="190"/>
      <c r="S22" s="190"/>
      <c r="T22" s="190"/>
      <c r="U22" s="190"/>
      <c r="V22" s="190"/>
      <c r="W22" s="190"/>
      <c r="X22" s="190"/>
      <c r="Y22" s="190"/>
    </row>
    <row r="23" spans="1:8" ht="6" customHeight="1">
      <c r="A23" s="38"/>
      <c r="B23"/>
      <c r="F23"/>
      <c r="G23"/>
      <c r="H23"/>
    </row>
    <row r="24" spans="1:24" ht="12.75" customHeight="1">
      <c r="A24" s="211" t="s">
        <v>190</v>
      </c>
      <c r="B24" s="211"/>
      <c r="C24" s="212"/>
      <c r="D24" s="212"/>
      <c r="E24" s="212"/>
      <c r="F24" s="212"/>
      <c r="G24" s="212"/>
      <c r="H24" s="212"/>
      <c r="I24" s="212"/>
      <c r="J24" s="212"/>
      <c r="K24" s="212"/>
      <c r="L24" s="212"/>
      <c r="M24" s="212"/>
      <c r="N24" s="212"/>
      <c r="O24" s="212"/>
      <c r="P24" s="212"/>
      <c r="Q24" s="212"/>
      <c r="R24" s="212"/>
      <c r="S24" s="212"/>
      <c r="T24" s="212"/>
      <c r="U24" s="212"/>
      <c r="V24" s="212"/>
      <c r="W24" s="212"/>
      <c r="X24" s="212"/>
    </row>
    <row r="25" spans="1:24" ht="6" customHeight="1">
      <c r="A25" s="40"/>
      <c r="B25" s="40"/>
      <c r="C25" s="41"/>
      <c r="D25" s="41"/>
      <c r="E25" s="41"/>
      <c r="F25" s="41"/>
      <c r="G25" s="41"/>
      <c r="H25" s="41"/>
      <c r="I25" s="41"/>
      <c r="J25" s="41"/>
      <c r="K25" s="41"/>
      <c r="L25" s="41"/>
      <c r="M25" s="41"/>
      <c r="N25" s="41"/>
      <c r="O25" s="41"/>
      <c r="P25" s="41"/>
      <c r="Q25" s="41"/>
      <c r="R25" s="41"/>
      <c r="S25" s="41"/>
      <c r="T25" s="41"/>
      <c r="U25" s="41"/>
      <c r="V25" s="41"/>
      <c r="W25" s="41"/>
      <c r="X25" s="41"/>
    </row>
    <row r="26" spans="1:24" ht="12.75" customHeight="1">
      <c r="A26" s="207" t="s">
        <v>191</v>
      </c>
      <c r="B26" s="207"/>
      <c r="C26" s="208"/>
      <c r="D26" s="208"/>
      <c r="E26" s="208"/>
      <c r="F26" s="208"/>
      <c r="G26" s="208"/>
      <c r="H26" s="208"/>
      <c r="I26" s="208"/>
      <c r="J26" s="208"/>
      <c r="K26" s="208"/>
      <c r="L26" s="208"/>
      <c r="M26" s="208"/>
      <c r="N26" s="208"/>
      <c r="O26" s="208"/>
      <c r="P26" s="208"/>
      <c r="Q26" s="208"/>
      <c r="R26" s="208"/>
      <c r="S26" s="208"/>
      <c r="T26" s="208"/>
      <c r="U26" s="208"/>
      <c r="V26" s="208"/>
      <c r="W26" s="208"/>
      <c r="X26" s="208"/>
    </row>
    <row r="27" spans="1:2" ht="6" customHeight="1">
      <c r="A27" s="17"/>
      <c r="B27" s="17"/>
    </row>
    <row r="28" spans="1:24" ht="12.75" customHeight="1">
      <c r="A28" s="205" t="s">
        <v>177</v>
      </c>
      <c r="B28" s="213"/>
      <c r="C28" s="205" t="s">
        <v>170</v>
      </c>
      <c r="D28" s="206"/>
      <c r="E28" s="213"/>
      <c r="F28" s="205" t="s">
        <v>171</v>
      </c>
      <c r="G28" s="206"/>
      <c r="H28" s="206"/>
      <c r="I28" s="213"/>
      <c r="J28" s="205" t="s">
        <v>172</v>
      </c>
      <c r="K28" s="206"/>
      <c r="L28" s="206"/>
      <c r="M28" s="206"/>
      <c r="N28" s="206"/>
      <c r="O28" s="213"/>
      <c r="P28" s="205" t="s">
        <v>0</v>
      </c>
      <c r="Q28" s="206"/>
      <c r="R28" s="206"/>
      <c r="S28" s="206"/>
      <c r="T28" s="206"/>
      <c r="U28" s="206"/>
      <c r="V28" s="206"/>
      <c r="W28" s="206"/>
      <c r="X28" s="213"/>
    </row>
    <row r="29" spans="1:24" ht="12.75" customHeight="1">
      <c r="A29" s="200" t="s">
        <v>264</v>
      </c>
      <c r="B29" s="214"/>
      <c r="C29" s="200" t="s">
        <v>229</v>
      </c>
      <c r="D29" s="201"/>
      <c r="E29" s="202"/>
      <c r="F29" s="200" t="s">
        <v>230</v>
      </c>
      <c r="G29" s="269"/>
      <c r="H29" s="269"/>
      <c r="I29" s="214"/>
      <c r="J29" s="200" t="s">
        <v>231</v>
      </c>
      <c r="K29" s="269"/>
      <c r="L29" s="269"/>
      <c r="M29" s="269"/>
      <c r="N29" s="269"/>
      <c r="O29" s="214"/>
      <c r="P29" s="200" t="s">
        <v>232</v>
      </c>
      <c r="Q29" s="269"/>
      <c r="R29" s="269"/>
      <c r="S29" s="269"/>
      <c r="T29" s="269"/>
      <c r="U29" s="269"/>
      <c r="V29" s="269"/>
      <c r="W29" s="269"/>
      <c r="X29" s="214"/>
    </row>
    <row r="30" spans="1:8" ht="6" customHeight="1">
      <c r="A30"/>
      <c r="B30"/>
      <c r="F30"/>
      <c r="G30"/>
      <c r="H30"/>
    </row>
    <row r="31" spans="1:24" ht="13.6">
      <c r="A31" s="205" t="s">
        <v>173</v>
      </c>
      <c r="B31" s="206"/>
      <c r="C31" s="206"/>
      <c r="D31" s="206"/>
      <c r="E31" s="206"/>
      <c r="F31" s="213"/>
      <c r="G31" s="205" t="s">
        <v>174</v>
      </c>
      <c r="H31" s="206"/>
      <c r="I31" s="206"/>
      <c r="J31" s="213"/>
      <c r="K31" s="205" t="s">
        <v>175</v>
      </c>
      <c r="L31" s="206"/>
      <c r="M31" s="206"/>
      <c r="N31" s="206"/>
      <c r="O31" s="206"/>
      <c r="P31" s="213"/>
      <c r="Q31" s="205" t="s">
        <v>180</v>
      </c>
      <c r="R31" s="206"/>
      <c r="S31" s="206"/>
      <c r="T31" s="206"/>
      <c r="U31" s="206"/>
      <c r="V31" s="206"/>
      <c r="W31" s="206"/>
      <c r="X31" s="213"/>
    </row>
    <row r="32" spans="1:24" ht="12.75">
      <c r="A32" s="241" t="s">
        <v>233</v>
      </c>
      <c r="B32" s="270"/>
      <c r="C32" s="270"/>
      <c r="D32" s="270"/>
      <c r="E32" s="270"/>
      <c r="F32" s="271"/>
      <c r="G32" s="200" t="s">
        <v>234</v>
      </c>
      <c r="H32" s="201"/>
      <c r="I32" s="201"/>
      <c r="J32" s="202"/>
      <c r="K32" s="200" t="s">
        <v>265</v>
      </c>
      <c r="L32" s="269"/>
      <c r="M32" s="269"/>
      <c r="N32" s="269"/>
      <c r="O32" s="269"/>
      <c r="P32" s="214"/>
      <c r="Q32" s="200" t="s">
        <v>270</v>
      </c>
      <c r="R32" s="269"/>
      <c r="S32" s="269"/>
      <c r="T32" s="269"/>
      <c r="U32" s="269"/>
      <c r="V32" s="269"/>
      <c r="W32" s="269"/>
      <c r="X32" s="214"/>
    </row>
    <row r="33" ht="9" customHeight="1"/>
    <row r="34" s="19" customFormat="1" ht="12.75"/>
    <row r="35" spans="1:24" ht="12.75" customHeight="1">
      <c r="A35" s="207" t="s">
        <v>192</v>
      </c>
      <c r="B35" s="207"/>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6" customHeight="1">
      <c r="A36" s="18"/>
      <c r="B36" s="18"/>
      <c r="C36" s="24"/>
      <c r="D36" s="24"/>
      <c r="E36" s="24"/>
      <c r="F36" s="24"/>
      <c r="G36" s="24"/>
      <c r="H36" s="24"/>
      <c r="I36" s="24"/>
      <c r="J36" s="24"/>
      <c r="K36" s="24"/>
      <c r="L36" s="24"/>
      <c r="M36" s="24"/>
      <c r="N36" s="24"/>
      <c r="O36" s="24"/>
      <c r="P36" s="24"/>
      <c r="Q36" s="24"/>
      <c r="R36" s="24"/>
      <c r="S36" s="24"/>
      <c r="T36" s="24"/>
      <c r="U36" s="24"/>
      <c r="V36" s="24"/>
      <c r="W36" s="24"/>
      <c r="X36" s="24"/>
    </row>
    <row r="37" spans="1:24" ht="12.75" customHeight="1">
      <c r="A37" s="205" t="s">
        <v>16</v>
      </c>
      <c r="B37" s="213"/>
      <c r="C37" s="78" t="s">
        <v>91</v>
      </c>
      <c r="D37" s="205" t="s">
        <v>14</v>
      </c>
      <c r="E37" s="206"/>
      <c r="F37" s="213"/>
      <c r="G37" s="205" t="s">
        <v>12</v>
      </c>
      <c r="H37" s="206"/>
      <c r="I37" s="206"/>
      <c r="J37" s="206"/>
      <c r="K37" s="206"/>
      <c r="L37" s="206"/>
      <c r="M37" s="206"/>
      <c r="N37" s="206"/>
      <c r="O37" s="206"/>
      <c r="P37" s="206"/>
      <c r="Q37" s="206"/>
      <c r="R37" s="206"/>
      <c r="S37" s="213"/>
      <c r="T37" s="79" t="s">
        <v>7</v>
      </c>
      <c r="U37" s="79" t="s">
        <v>8</v>
      </c>
      <c r="V37" s="79" t="s">
        <v>9</v>
      </c>
      <c r="W37" s="79" t="s">
        <v>10</v>
      </c>
      <c r="X37" s="79" t="s">
        <v>11</v>
      </c>
    </row>
    <row r="38" spans="1:24" ht="12.75" customHeight="1">
      <c r="A38" s="218">
        <v>43374</v>
      </c>
      <c r="B38" s="219"/>
      <c r="C38" s="77" t="s">
        <v>235</v>
      </c>
      <c r="D38" s="200" t="s">
        <v>78</v>
      </c>
      <c r="E38" s="201"/>
      <c r="F38" s="202"/>
      <c r="G38" s="200" t="s">
        <v>263</v>
      </c>
      <c r="H38" s="201"/>
      <c r="I38" s="201"/>
      <c r="J38" s="201"/>
      <c r="K38" s="201"/>
      <c r="L38" s="201"/>
      <c r="M38" s="201"/>
      <c r="N38" s="201"/>
      <c r="O38" s="201"/>
      <c r="P38" s="201"/>
      <c r="Q38" s="201"/>
      <c r="R38" s="201"/>
      <c r="S38" s="202"/>
      <c r="T38" s="80">
        <f ca="1">IF(ISERROR(INDIRECT("'BDI ("&amp;RIGHT(T37,1)&amp;")'!N27")),"",INDIRECT("'BDI ("&amp;RIGHT(T37,1)&amp;")'!N27"))</f>
        <v>0.2639</v>
      </c>
      <c r="U38" s="81" t="str">
        <f ca="1">IF(ISERROR(INDIRECT("'BDI ("&amp;RIGHT(U37,1)&amp;")'!N27")),"",INDIRECT("'BDI ("&amp;RIGHT(U37,1)&amp;")'!N27"))</f>
        <v/>
      </c>
      <c r="V38" s="81" t="str">
        <f ca="1">IF(ISERROR(INDIRECT("'BDI ("&amp;RIGHT(V37,1)&amp;")'!N27")),"",INDIRECT("'BDI ("&amp;RIGHT(V37,1)&amp;")'!N27"))</f>
        <v/>
      </c>
      <c r="W38" s="81" t="str">
        <f ca="1">IF(ISERROR(INDIRECT("'BDI ("&amp;RIGHT(W37,1)&amp;")'!N27")),"",INDIRECT("'BDI ("&amp;RIGHT(W37,1)&amp;")'!N27"))</f>
        <v/>
      </c>
      <c r="X38" s="81" t="str">
        <f ca="1">IF(ISERROR(INDIRECT("'BDI ("&amp;RIGHT(X37,1)&amp;")'!N27")),"",INDIRECT("'BDI ("&amp;RIGHT(X37,1)&amp;")'!N27"))</f>
        <v/>
      </c>
    </row>
    <row r="39" spans="1:24" ht="11.25" customHeight="1">
      <c r="A39" s="18"/>
      <c r="B39" s="18"/>
      <c r="C39" s="24"/>
      <c r="D39" s="24"/>
      <c r="E39" s="24"/>
      <c r="F39" s="24"/>
      <c r="G39" s="24"/>
      <c r="H39" s="24"/>
      <c r="I39" s="24"/>
      <c r="J39" s="24"/>
      <c r="K39" s="24"/>
      <c r="L39" s="24"/>
      <c r="M39" s="24"/>
      <c r="N39" s="24"/>
      <c r="O39" s="24"/>
      <c r="P39" s="24"/>
      <c r="Q39" s="24"/>
      <c r="R39" s="24"/>
      <c r="S39" s="24"/>
      <c r="T39" s="24"/>
      <c r="U39" s="24"/>
      <c r="V39" s="24"/>
      <c r="W39" s="24"/>
      <c r="X39" s="24"/>
    </row>
    <row r="40" spans="1:24" ht="12.75" customHeight="1">
      <c r="A40" s="207" t="s">
        <v>162</v>
      </c>
      <c r="B40" s="207"/>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6" customHeight="1">
      <c r="A41" s="18"/>
      <c r="B41" s="18"/>
      <c r="C41" s="24"/>
      <c r="D41" s="24"/>
      <c r="E41" s="24"/>
      <c r="F41" s="24"/>
      <c r="G41" s="24"/>
      <c r="H41" s="24"/>
      <c r="I41" s="24"/>
      <c r="J41" s="24"/>
      <c r="K41" s="24"/>
      <c r="L41" s="24"/>
      <c r="M41" s="24"/>
      <c r="N41" s="24"/>
      <c r="O41" s="24"/>
      <c r="P41" s="24"/>
      <c r="Q41" s="24"/>
      <c r="R41" s="24"/>
      <c r="S41" s="24"/>
      <c r="T41" s="24"/>
      <c r="U41" s="24"/>
      <c r="V41" s="24"/>
      <c r="W41" s="24"/>
      <c r="X41" s="24"/>
    </row>
    <row r="42" spans="1:24" ht="12.75" customHeight="1">
      <c r="A42" s="205" t="s">
        <v>87</v>
      </c>
      <c r="B42" s="213"/>
      <c r="C42" s="205" t="s">
        <v>111</v>
      </c>
      <c r="D42" s="206"/>
      <c r="E42" s="206"/>
      <c r="F42" s="206"/>
      <c r="G42" s="206"/>
      <c r="H42" s="205" t="s">
        <v>16</v>
      </c>
      <c r="I42" s="206"/>
      <c r="J42" s="20" t="s">
        <v>91</v>
      </c>
      <c r="K42" s="205" t="s">
        <v>88</v>
      </c>
      <c r="L42" s="206"/>
      <c r="M42" s="213"/>
      <c r="N42" s="20" t="s">
        <v>92</v>
      </c>
      <c r="O42" s="205" t="s">
        <v>93</v>
      </c>
      <c r="P42" s="206"/>
      <c r="Q42" s="206"/>
      <c r="R42" s="206"/>
      <c r="S42" s="206"/>
      <c r="T42" s="213"/>
      <c r="U42" s="220" t="s">
        <v>89</v>
      </c>
      <c r="V42" s="221"/>
      <c r="W42" s="220" t="s">
        <v>90</v>
      </c>
      <c r="X42" s="221"/>
    </row>
    <row r="43" spans="1:24" ht="12.75" customHeight="1">
      <c r="A43" s="241"/>
      <c r="B43" s="242"/>
      <c r="C43" s="200"/>
      <c r="D43" s="201"/>
      <c r="E43" s="201"/>
      <c r="F43" s="201"/>
      <c r="G43" s="201"/>
      <c r="H43" s="218"/>
      <c r="I43" s="219"/>
      <c r="J43" s="74"/>
      <c r="K43" s="272"/>
      <c r="L43" s="273"/>
      <c r="M43" s="274"/>
      <c r="N43" s="89"/>
      <c r="O43" s="229"/>
      <c r="P43" s="230"/>
      <c r="Q43" s="230"/>
      <c r="R43" s="231"/>
      <c r="S43" s="231"/>
      <c r="T43" s="232"/>
      <c r="U43" s="227"/>
      <c r="V43" s="233"/>
      <c r="W43" s="227"/>
      <c r="X43" s="228"/>
    </row>
    <row r="44" spans="1:24" ht="12.75" customHeight="1">
      <c r="A44" s="18"/>
      <c r="B44" s="18"/>
      <c r="C44" s="24"/>
      <c r="D44" s="24"/>
      <c r="E44" s="24"/>
      <c r="F44" s="24"/>
      <c r="G44" s="24"/>
      <c r="H44" s="24"/>
      <c r="I44" s="24"/>
      <c r="J44" s="24"/>
      <c r="K44" s="24"/>
      <c r="L44" s="24"/>
      <c r="M44" s="24"/>
      <c r="N44" s="24"/>
      <c r="O44" s="24"/>
      <c r="P44" s="24"/>
      <c r="Q44" s="24"/>
      <c r="R44" s="24"/>
      <c r="S44" s="24"/>
      <c r="T44" s="24"/>
      <c r="U44" s="24"/>
      <c r="V44" s="24"/>
      <c r="W44" s="24"/>
      <c r="X44" s="24"/>
    </row>
    <row r="45" spans="1:24" ht="12.75" customHeight="1">
      <c r="A45" s="207" t="s">
        <v>193</v>
      </c>
      <c r="B45" s="207"/>
      <c r="C45" s="208"/>
      <c r="D45" s="208"/>
      <c r="E45" s="208"/>
      <c r="F45" s="208"/>
      <c r="G45" s="208"/>
      <c r="H45" s="208"/>
      <c r="I45" s="208"/>
      <c r="J45" s="208"/>
      <c r="K45" s="208"/>
      <c r="L45" s="208"/>
      <c r="M45" s="208"/>
      <c r="N45" s="208"/>
      <c r="O45" s="208"/>
      <c r="P45" s="208"/>
      <c r="Q45" s="208"/>
      <c r="R45" s="208"/>
      <c r="S45" s="208"/>
      <c r="T45" s="208"/>
      <c r="U45" s="208"/>
      <c r="V45" s="208"/>
      <c r="W45" s="208"/>
      <c r="X45" s="208"/>
    </row>
    <row r="46" spans="1:24" ht="6" customHeight="1">
      <c r="A46" s="18"/>
      <c r="B46" s="18"/>
      <c r="C46" s="24"/>
      <c r="D46" s="24"/>
      <c r="E46" s="24"/>
      <c r="F46" s="24"/>
      <c r="G46" s="24"/>
      <c r="H46" s="24"/>
      <c r="I46" s="24"/>
      <c r="J46" s="24"/>
      <c r="K46" s="24"/>
      <c r="L46" s="24"/>
      <c r="M46" s="24"/>
      <c r="N46" s="24"/>
      <c r="O46" s="24"/>
      <c r="P46" s="24"/>
      <c r="Q46" s="24"/>
      <c r="R46" s="24"/>
      <c r="S46" s="24"/>
      <c r="T46" s="24"/>
      <c r="U46" s="24"/>
      <c r="V46" s="24"/>
      <c r="W46" s="24"/>
      <c r="X46" s="24"/>
    </row>
    <row r="47" spans="1:8" ht="13.6">
      <c r="A47" s="20" t="s">
        <v>15</v>
      </c>
      <c r="B47" s="21"/>
      <c r="C47" s="22"/>
      <c r="F47"/>
      <c r="G47"/>
      <c r="H47"/>
    </row>
    <row r="48" spans="1:8" ht="12.75">
      <c r="A48" s="253">
        <v>43575</v>
      </c>
      <c r="B48" s="254"/>
      <c r="C48" s="255"/>
      <c r="E48" s="29"/>
      <c r="F48"/>
      <c r="G48"/>
      <c r="H48"/>
    </row>
    <row r="49" spans="6:8" ht="12.75">
      <c r="F49" s="25"/>
      <c r="G49" s="26"/>
      <c r="H49" s="27"/>
    </row>
    <row r="50" spans="1:24" ht="12.75">
      <c r="A50" s="207" t="s">
        <v>194</v>
      </c>
      <c r="B50" s="207"/>
      <c r="C50" s="208"/>
      <c r="D50" s="208"/>
      <c r="E50" s="208"/>
      <c r="F50" s="208"/>
      <c r="G50" s="208"/>
      <c r="H50" s="208"/>
      <c r="I50" s="208"/>
      <c r="J50" s="208"/>
      <c r="K50" s="208"/>
      <c r="L50" s="208"/>
      <c r="M50" s="208"/>
      <c r="N50" s="208"/>
      <c r="O50" s="208"/>
      <c r="P50" s="208"/>
      <c r="Q50" s="208"/>
      <c r="R50" s="208"/>
      <c r="S50" s="208"/>
      <c r="T50" s="208"/>
      <c r="U50" s="208"/>
      <c r="V50" s="208"/>
      <c r="W50" s="208"/>
      <c r="X50" s="208"/>
    </row>
    <row r="51" spans="1:12" ht="12.75">
      <c r="A51" s="18"/>
      <c r="B51" s="18"/>
      <c r="C51" s="24"/>
      <c r="D51" s="24"/>
      <c r="E51" s="24"/>
      <c r="F51" s="24"/>
      <c r="G51" s="24"/>
      <c r="H51" s="24"/>
      <c r="I51" s="24"/>
      <c r="J51" s="24"/>
      <c r="K51" s="24"/>
      <c r="L51" s="24"/>
    </row>
    <row r="52" spans="1:12" ht="13.6">
      <c r="A52" s="18"/>
      <c r="B52" s="18"/>
      <c r="C52" s="24"/>
      <c r="D52" s="24"/>
      <c r="E52" s="24"/>
      <c r="F52" s="24"/>
      <c r="G52" s="5" t="s">
        <v>18</v>
      </c>
      <c r="H52" s="24"/>
      <c r="I52" s="24"/>
      <c r="K52" s="72" t="s">
        <v>237</v>
      </c>
      <c r="L52" s="24"/>
    </row>
    <row r="53" spans="1:11" ht="12.75">
      <c r="A53" s="30"/>
      <c r="B53" s="30"/>
      <c r="C53" s="31"/>
      <c r="D53" s="31"/>
      <c r="E53" s="31"/>
      <c r="F53" s="25"/>
      <c r="G53" s="30"/>
      <c r="H53" s="30"/>
      <c r="I53" s="31"/>
      <c r="J53" s="31"/>
      <c r="K53" s="31"/>
    </row>
    <row r="54" spans="1:11" ht="12.75">
      <c r="A54" s="86" t="s">
        <v>140</v>
      </c>
      <c r="B54" s="256"/>
      <c r="C54" s="257"/>
      <c r="D54" s="257"/>
      <c r="E54" s="257"/>
      <c r="F54" s="25"/>
      <c r="G54" s="86" t="s">
        <v>140</v>
      </c>
      <c r="H54" s="257"/>
      <c r="I54" s="257"/>
      <c r="J54" s="257"/>
      <c r="K54" s="257"/>
    </row>
    <row r="55" spans="1:11" ht="12.75">
      <c r="A55" s="86" t="str">
        <f>IF(OR(TipoOrçamento="BASE",TipoOrçamento="REPROGRAMADONPL"),"Título:","Cargo:")</f>
        <v>Cargo:</v>
      </c>
      <c r="B55" s="256"/>
      <c r="C55" s="257"/>
      <c r="D55" s="257"/>
      <c r="E55" s="257"/>
      <c r="F55" s="25"/>
      <c r="G55" s="86" t="str">
        <f>A55</f>
        <v>Cargo:</v>
      </c>
      <c r="H55" s="257"/>
      <c r="I55" s="257"/>
      <c r="J55" s="257"/>
      <c r="K55" s="257"/>
    </row>
    <row r="56" spans="1:11" ht="12.75">
      <c r="A56" s="86" t="str">
        <f>IF(OR(TipoOrçamento="BASE",TipoOrçamento="REPROGRAMADONPL"),"CREA/CAU:","Empresa:")</f>
        <v>Empresa:</v>
      </c>
      <c r="B56" s="240"/>
      <c r="C56" s="226"/>
      <c r="D56" s="226"/>
      <c r="E56" s="226"/>
      <c r="F56" s="25"/>
      <c r="G56" s="86" t="str">
        <f>A56</f>
        <v>Empresa:</v>
      </c>
      <c r="H56" s="226"/>
      <c r="I56" s="226"/>
      <c r="J56" s="226"/>
      <c r="K56" s="226"/>
    </row>
    <row r="57" spans="1:11" ht="12.75">
      <c r="A57" s="86" t="str">
        <f>IF(OR(TipoOrçamento="BASE",TipoOrçamento="REPROGRAMADONPL"),"ART/RRT:","CNPJ:")</f>
        <v>CNPJ:</v>
      </c>
      <c r="B57" s="240"/>
      <c r="C57" s="226"/>
      <c r="D57" s="226"/>
      <c r="E57" s="226"/>
      <c r="F57" s="25"/>
      <c r="G57" s="86" t="str">
        <f>A57</f>
        <v>CNPJ:</v>
      </c>
      <c r="H57" s="226"/>
      <c r="I57" s="226"/>
      <c r="J57" s="226"/>
      <c r="K57" s="226"/>
    </row>
    <row r="58" spans="6:8" ht="12.75">
      <c r="F58" s="25"/>
      <c r="G58" s="26"/>
      <c r="H58" s="27"/>
    </row>
    <row r="59" spans="6:8" ht="12.75">
      <c r="F59" s="25"/>
      <c r="G59" s="26"/>
      <c r="H59" s="27"/>
    </row>
    <row r="60" spans="1:24" ht="12.75" customHeight="1">
      <c r="A60" s="211" t="s">
        <v>195</v>
      </c>
      <c r="B60" s="211"/>
      <c r="C60" s="212"/>
      <c r="D60" s="212"/>
      <c r="E60" s="212"/>
      <c r="F60" s="212"/>
      <c r="G60" s="212"/>
      <c r="H60" s="212"/>
      <c r="I60" s="212"/>
      <c r="J60" s="212"/>
      <c r="K60" s="212"/>
      <c r="L60" s="212"/>
      <c r="M60" s="212"/>
      <c r="N60" s="212"/>
      <c r="O60" s="212"/>
      <c r="P60" s="212"/>
      <c r="Q60" s="212"/>
      <c r="R60" s="212"/>
      <c r="S60" s="212"/>
      <c r="T60" s="212"/>
      <c r="U60" s="212"/>
      <c r="V60" s="212"/>
      <c r="W60" s="212"/>
      <c r="X60" s="212"/>
    </row>
    <row r="61" spans="1:24" ht="13.6">
      <c r="A61" s="40"/>
      <c r="B61" s="40"/>
      <c r="C61" s="41"/>
      <c r="D61" s="41"/>
      <c r="E61" s="41"/>
      <c r="F61" s="41"/>
      <c r="G61" s="41"/>
      <c r="H61" s="41"/>
      <c r="I61" s="41"/>
      <c r="J61" s="41"/>
      <c r="K61" s="41"/>
      <c r="L61" s="41"/>
      <c r="M61" s="41"/>
      <c r="N61" s="41"/>
      <c r="O61" s="41"/>
      <c r="P61" s="41"/>
      <c r="Q61" s="41"/>
      <c r="R61" s="41"/>
      <c r="S61" s="41"/>
      <c r="T61" s="41"/>
      <c r="U61" s="41"/>
      <c r="V61" s="41"/>
      <c r="W61" s="41"/>
      <c r="X61" s="41"/>
    </row>
    <row r="62" spans="1:24" s="137" customFormat="1" ht="12.75" customHeight="1">
      <c r="A62" s="215" t="s">
        <v>196</v>
      </c>
      <c r="B62" s="216"/>
      <c r="C62" s="217"/>
      <c r="D62" s="217"/>
      <c r="E62" s="217"/>
      <c r="F62" s="217"/>
      <c r="G62" s="217"/>
      <c r="H62" s="217"/>
      <c r="I62" s="217"/>
      <c r="J62" s="217"/>
      <c r="K62" s="217"/>
      <c r="L62" s="217"/>
      <c r="M62" s="217"/>
      <c r="N62" s="217"/>
      <c r="O62" s="217"/>
      <c r="P62" s="217"/>
      <c r="Q62" s="217"/>
      <c r="R62" s="217"/>
      <c r="S62" s="217"/>
      <c r="T62" s="217"/>
      <c r="U62" s="217"/>
      <c r="V62" s="217"/>
      <c r="W62" s="217"/>
      <c r="X62" s="217"/>
    </row>
    <row r="63" spans="1:24" ht="30.1" customHeight="1">
      <c r="A63" s="215" t="s">
        <v>197</v>
      </c>
      <c r="B63" s="215"/>
      <c r="C63" s="258"/>
      <c r="D63" s="258"/>
      <c r="E63" s="258"/>
      <c r="F63" s="258"/>
      <c r="G63" s="258"/>
      <c r="H63" s="258"/>
      <c r="I63" s="258"/>
      <c r="J63" s="258"/>
      <c r="K63" s="258"/>
      <c r="L63" s="258"/>
      <c r="M63" s="258"/>
      <c r="N63" s="258"/>
      <c r="O63" s="258"/>
      <c r="P63" s="258"/>
      <c r="Q63" s="258"/>
      <c r="R63" s="258"/>
      <c r="S63" s="258"/>
      <c r="T63" s="258"/>
      <c r="U63" s="258"/>
      <c r="V63" s="258"/>
      <c r="W63" s="258"/>
      <c r="X63" s="258"/>
    </row>
    <row r="64" spans="6:8" ht="12.75">
      <c r="F64" s="25"/>
      <c r="G64" s="26"/>
      <c r="H64" s="27"/>
    </row>
    <row r="65" spans="1:24" ht="12.75" customHeight="1">
      <c r="A65" s="211" t="s">
        <v>198</v>
      </c>
      <c r="B65" s="211"/>
      <c r="C65" s="212"/>
      <c r="D65" s="212"/>
      <c r="E65" s="212"/>
      <c r="F65" s="212"/>
      <c r="G65" s="212"/>
      <c r="H65" s="212"/>
      <c r="I65" s="212"/>
      <c r="J65" s="212"/>
      <c r="K65" s="212"/>
      <c r="L65" s="212"/>
      <c r="M65" s="212"/>
      <c r="N65" s="212"/>
      <c r="O65" s="212"/>
      <c r="P65" s="212"/>
      <c r="Q65" s="212"/>
      <c r="R65" s="212"/>
      <c r="S65" s="212"/>
      <c r="T65" s="212"/>
      <c r="U65" s="212"/>
      <c r="V65" s="212"/>
      <c r="W65" s="212"/>
      <c r="X65" s="212"/>
    </row>
    <row r="66" spans="1:24" ht="13.6">
      <c r="A66" s="40"/>
      <c r="B66" s="40"/>
      <c r="C66" s="41"/>
      <c r="D66" s="41"/>
      <c r="E66" s="41"/>
      <c r="F66" s="41"/>
      <c r="G66" s="41"/>
      <c r="H66" s="41"/>
      <c r="I66" s="41"/>
      <c r="J66" s="41"/>
      <c r="K66" s="41"/>
      <c r="L66" s="41"/>
      <c r="M66" s="41"/>
      <c r="N66" s="41"/>
      <c r="O66" s="41"/>
      <c r="P66" s="41"/>
      <c r="Q66" s="41"/>
      <c r="R66" s="41"/>
      <c r="S66" s="41"/>
      <c r="T66" s="41"/>
      <c r="U66" s="41"/>
      <c r="V66" s="41"/>
      <c r="W66" s="41"/>
      <c r="X66" s="41"/>
    </row>
    <row r="67" spans="1:24" ht="12.75" customHeight="1">
      <c r="A67" s="207" t="s">
        <v>199</v>
      </c>
      <c r="B67" s="207"/>
      <c r="C67" s="208"/>
      <c r="D67" s="208"/>
      <c r="E67" s="208"/>
      <c r="F67" s="208"/>
      <c r="G67" s="208"/>
      <c r="H67" s="208"/>
      <c r="I67" s="208"/>
      <c r="J67" s="208"/>
      <c r="K67" s="208"/>
      <c r="L67" s="208"/>
      <c r="M67" s="208"/>
      <c r="N67" s="208"/>
      <c r="O67" s="208"/>
      <c r="P67" s="208"/>
      <c r="Q67" s="208"/>
      <c r="R67" s="208"/>
      <c r="S67" s="208"/>
      <c r="T67" s="208"/>
      <c r="U67" s="208"/>
      <c r="V67" s="208"/>
      <c r="W67" s="208"/>
      <c r="X67" s="208"/>
    </row>
    <row r="68" spans="1:24" ht="12.75">
      <c r="A68" s="207" t="s">
        <v>200</v>
      </c>
      <c r="B68" s="207"/>
      <c r="C68" s="208"/>
      <c r="D68" s="208"/>
      <c r="E68" s="208"/>
      <c r="F68" s="208"/>
      <c r="G68" s="208"/>
      <c r="H68" s="208"/>
      <c r="I68" s="208"/>
      <c r="J68" s="208"/>
      <c r="K68" s="208"/>
      <c r="L68" s="208"/>
      <c r="M68" s="208"/>
      <c r="N68" s="208"/>
      <c r="O68" s="208"/>
      <c r="P68" s="208"/>
      <c r="Q68" s="208"/>
      <c r="R68" s="208"/>
      <c r="S68" s="208"/>
      <c r="T68" s="208"/>
      <c r="U68" s="208"/>
      <c r="V68" s="208"/>
      <c r="W68" s="208"/>
      <c r="X68" s="208"/>
    </row>
    <row r="69" spans="1:24" ht="12.75" customHeight="1">
      <c r="A69" s="207" t="s">
        <v>201</v>
      </c>
      <c r="B69" s="207"/>
      <c r="C69" s="208"/>
      <c r="D69" s="208"/>
      <c r="E69" s="208"/>
      <c r="F69" s="208"/>
      <c r="G69" s="208"/>
      <c r="H69" s="208"/>
      <c r="I69" s="208"/>
      <c r="J69" s="208"/>
      <c r="K69" s="208"/>
      <c r="L69" s="208"/>
      <c r="M69" s="208"/>
      <c r="N69" s="208"/>
      <c r="O69" s="208"/>
      <c r="P69" s="208"/>
      <c r="Q69" s="208"/>
      <c r="R69" s="208"/>
      <c r="S69" s="208"/>
      <c r="T69" s="208"/>
      <c r="U69" s="208"/>
      <c r="V69" s="208"/>
      <c r="W69" s="208"/>
      <c r="X69" s="208"/>
    </row>
    <row r="70" spans="1:24" ht="12.75" customHeight="1">
      <c r="A70" s="207" t="s">
        <v>202</v>
      </c>
      <c r="B70" s="207"/>
      <c r="C70" s="208"/>
      <c r="D70" s="208"/>
      <c r="E70" s="208"/>
      <c r="F70" s="208"/>
      <c r="G70" s="208"/>
      <c r="H70" s="208"/>
      <c r="I70" s="208"/>
      <c r="J70" s="208"/>
      <c r="K70" s="208"/>
      <c r="L70" s="208"/>
      <c r="M70" s="208"/>
      <c r="N70" s="208"/>
      <c r="O70" s="208"/>
      <c r="P70" s="208"/>
      <c r="Q70" s="208"/>
      <c r="R70" s="208"/>
      <c r="S70" s="208"/>
      <c r="T70" s="208"/>
      <c r="U70" s="208"/>
      <c r="V70" s="208"/>
      <c r="W70" s="208"/>
      <c r="X70" s="208"/>
    </row>
    <row r="71" spans="1:24" ht="12.75" customHeight="1">
      <c r="A71" s="207" t="s">
        <v>203</v>
      </c>
      <c r="B71" s="207"/>
      <c r="C71" s="208"/>
      <c r="D71" s="208"/>
      <c r="E71" s="208"/>
      <c r="F71" s="208"/>
      <c r="G71" s="208"/>
      <c r="H71" s="208"/>
      <c r="I71" s="208"/>
      <c r="J71" s="208"/>
      <c r="K71" s="208"/>
      <c r="L71" s="208"/>
      <c r="M71" s="208"/>
      <c r="N71" s="208"/>
      <c r="O71" s="208"/>
      <c r="P71" s="208"/>
      <c r="Q71" s="208"/>
      <c r="R71" s="208"/>
      <c r="S71" s="208"/>
      <c r="T71" s="208"/>
      <c r="U71" s="208"/>
      <c r="V71" s="208"/>
      <c r="W71" s="208"/>
      <c r="X71" s="208"/>
    </row>
    <row r="72" spans="1:24" ht="12.75" customHeight="1">
      <c r="A72" s="207" t="s">
        <v>204</v>
      </c>
      <c r="B72" s="207"/>
      <c r="C72" s="208"/>
      <c r="D72" s="208"/>
      <c r="E72" s="208"/>
      <c r="F72" s="208"/>
      <c r="G72" s="208"/>
      <c r="H72" s="208"/>
      <c r="I72" s="208"/>
      <c r="J72" s="208"/>
      <c r="K72" s="208"/>
      <c r="L72" s="208"/>
      <c r="M72" s="208"/>
      <c r="N72" s="208"/>
      <c r="O72" s="208"/>
      <c r="P72" s="208"/>
      <c r="Q72" s="208"/>
      <c r="R72" s="208"/>
      <c r="S72" s="208"/>
      <c r="T72" s="208"/>
      <c r="U72" s="208"/>
      <c r="V72" s="208"/>
      <c r="W72" s="208"/>
      <c r="X72" s="208"/>
    </row>
    <row r="73" spans="6:8" ht="12.75">
      <c r="F73" s="25"/>
      <c r="G73" s="26"/>
      <c r="H73" s="27"/>
    </row>
    <row r="74" spans="1:24" ht="12.75" customHeight="1">
      <c r="A74" s="211" t="s">
        <v>205</v>
      </c>
      <c r="B74" s="211"/>
      <c r="C74" s="212"/>
      <c r="D74" s="212"/>
      <c r="E74" s="212"/>
      <c r="F74" s="212"/>
      <c r="G74" s="212"/>
      <c r="H74" s="212"/>
      <c r="I74" s="212"/>
      <c r="J74" s="212"/>
      <c r="K74" s="212"/>
      <c r="L74" s="212"/>
      <c r="M74" s="212"/>
      <c r="N74" s="212"/>
      <c r="O74" s="212"/>
      <c r="P74" s="212"/>
      <c r="Q74" s="212"/>
      <c r="R74" s="212"/>
      <c r="S74" s="212"/>
      <c r="T74" s="212"/>
      <c r="U74" s="212"/>
      <c r="V74" s="212"/>
      <c r="W74" s="212"/>
      <c r="X74" s="212"/>
    </row>
    <row r="75" spans="1:24" ht="13.6">
      <c r="A75" s="40"/>
      <c r="B75" s="40"/>
      <c r="C75" s="41"/>
      <c r="D75" s="41"/>
      <c r="E75" s="41"/>
      <c r="F75" s="41"/>
      <c r="G75" s="41"/>
      <c r="H75" s="41"/>
      <c r="I75" s="41"/>
      <c r="J75" s="41"/>
      <c r="K75" s="41"/>
      <c r="L75" s="41"/>
      <c r="M75" s="41"/>
      <c r="N75" s="41"/>
      <c r="O75" s="41"/>
      <c r="P75" s="41"/>
      <c r="Q75" s="41"/>
      <c r="R75" s="41"/>
      <c r="S75" s="41"/>
      <c r="T75" s="41"/>
      <c r="U75" s="41"/>
      <c r="V75" s="41"/>
      <c r="W75" s="41"/>
      <c r="X75" s="41"/>
    </row>
    <row r="76" spans="1:24" ht="12.75" customHeight="1">
      <c r="A76" s="207" t="s">
        <v>206</v>
      </c>
      <c r="B76" s="207"/>
      <c r="C76" s="208"/>
      <c r="D76" s="208"/>
      <c r="E76" s="208"/>
      <c r="F76" s="208"/>
      <c r="G76" s="208"/>
      <c r="H76" s="208"/>
      <c r="I76" s="208"/>
      <c r="J76" s="208"/>
      <c r="K76" s="208"/>
      <c r="L76" s="208"/>
      <c r="M76" s="208"/>
      <c r="N76" s="208"/>
      <c r="O76" s="208"/>
      <c r="P76" s="208"/>
      <c r="Q76" s="208"/>
      <c r="R76" s="208"/>
      <c r="S76" s="208"/>
      <c r="T76" s="208"/>
      <c r="U76" s="208"/>
      <c r="V76" s="208"/>
      <c r="W76" s="208"/>
      <c r="X76" s="208"/>
    </row>
    <row r="77" spans="1:24" ht="26.15" customHeight="1">
      <c r="A77" s="203" t="s">
        <v>207</v>
      </c>
      <c r="B77" s="203"/>
      <c r="C77" s="204"/>
      <c r="D77" s="204"/>
      <c r="E77" s="204"/>
      <c r="F77" s="204"/>
      <c r="G77" s="204"/>
      <c r="H77" s="204"/>
      <c r="I77" s="204"/>
      <c r="J77" s="204"/>
      <c r="K77" s="204"/>
      <c r="L77" s="204"/>
      <c r="M77" s="204"/>
      <c r="N77" s="204"/>
      <c r="O77" s="204"/>
      <c r="P77" s="204"/>
      <c r="Q77" s="204"/>
      <c r="R77" s="204"/>
      <c r="S77" s="204"/>
      <c r="T77" s="204"/>
      <c r="U77" s="204"/>
      <c r="V77" s="204"/>
      <c r="W77" s="204"/>
      <c r="X77" s="204"/>
    </row>
    <row r="78" spans="1:24" ht="12.75" customHeight="1">
      <c r="A78" s="207" t="s">
        <v>208</v>
      </c>
      <c r="B78" s="207"/>
      <c r="C78" s="208"/>
      <c r="D78" s="208"/>
      <c r="E78" s="208"/>
      <c r="F78" s="208"/>
      <c r="G78" s="208"/>
      <c r="H78" s="208"/>
      <c r="I78" s="208"/>
      <c r="J78" s="208"/>
      <c r="K78" s="208"/>
      <c r="L78" s="208"/>
      <c r="M78" s="208"/>
      <c r="N78" s="208"/>
      <c r="O78" s="208"/>
      <c r="P78" s="208"/>
      <c r="Q78" s="208"/>
      <c r="R78" s="208"/>
      <c r="S78" s="208"/>
      <c r="T78" s="208"/>
      <c r="U78" s="208"/>
      <c r="V78" s="208"/>
      <c r="W78" s="208"/>
      <c r="X78" s="208"/>
    </row>
    <row r="79" spans="1:24" ht="25.5" customHeight="1">
      <c r="A79" s="207" t="s">
        <v>209</v>
      </c>
      <c r="B79" s="207"/>
      <c r="C79" s="208"/>
      <c r="D79" s="208"/>
      <c r="E79" s="208"/>
      <c r="F79" s="208"/>
      <c r="G79" s="208"/>
      <c r="H79" s="208"/>
      <c r="I79" s="208"/>
      <c r="J79" s="208"/>
      <c r="K79" s="208"/>
      <c r="L79" s="208"/>
      <c r="M79" s="208"/>
      <c r="N79" s="208"/>
      <c r="O79" s="208"/>
      <c r="P79" s="208"/>
      <c r="Q79" s="208"/>
      <c r="R79" s="208"/>
      <c r="S79" s="208"/>
      <c r="T79" s="208"/>
      <c r="U79" s="208"/>
      <c r="V79" s="208"/>
      <c r="W79" s="208"/>
      <c r="X79" s="208"/>
    </row>
    <row r="80" spans="1:24" ht="12.75">
      <c r="A80" s="203" t="s">
        <v>210</v>
      </c>
      <c r="B80" s="203"/>
      <c r="C80" s="204"/>
      <c r="D80" s="204"/>
      <c r="E80" s="204"/>
      <c r="F80" s="204"/>
      <c r="G80" s="204"/>
      <c r="H80" s="204"/>
      <c r="I80" s="204"/>
      <c r="J80" s="204"/>
      <c r="K80" s="204"/>
      <c r="L80" s="204"/>
      <c r="M80" s="204"/>
      <c r="N80" s="204"/>
      <c r="O80" s="204"/>
      <c r="P80" s="204"/>
      <c r="Q80" s="204"/>
      <c r="R80" s="204"/>
      <c r="S80" s="204"/>
      <c r="T80" s="204"/>
      <c r="U80" s="204"/>
      <c r="V80" s="204"/>
      <c r="W80" s="204"/>
      <c r="X80" s="204"/>
    </row>
    <row r="81" spans="1:24" ht="12.75" customHeight="1">
      <c r="A81" s="207" t="s">
        <v>211</v>
      </c>
      <c r="B81" s="207"/>
      <c r="C81" s="208"/>
      <c r="D81" s="208"/>
      <c r="E81" s="208"/>
      <c r="F81" s="208"/>
      <c r="G81" s="208"/>
      <c r="H81" s="208"/>
      <c r="I81" s="208"/>
      <c r="J81" s="208"/>
      <c r="K81" s="208"/>
      <c r="L81" s="208"/>
      <c r="M81" s="208"/>
      <c r="N81" s="208"/>
      <c r="O81" s="208"/>
      <c r="P81" s="208"/>
      <c r="Q81" s="208"/>
      <c r="R81" s="208"/>
      <c r="S81" s="208"/>
      <c r="T81" s="208"/>
      <c r="U81" s="208"/>
      <c r="V81" s="208"/>
      <c r="W81" s="208"/>
      <c r="X81" s="208"/>
    </row>
    <row r="82" spans="1:24" ht="26.15" customHeight="1">
      <c r="A82" s="207" t="s">
        <v>212</v>
      </c>
      <c r="B82" s="207"/>
      <c r="C82" s="208"/>
      <c r="D82" s="208"/>
      <c r="E82" s="208"/>
      <c r="F82" s="208"/>
      <c r="G82" s="208"/>
      <c r="H82" s="208"/>
      <c r="I82" s="208"/>
      <c r="J82" s="208"/>
      <c r="K82" s="208"/>
      <c r="L82" s="208"/>
      <c r="M82" s="208"/>
      <c r="N82" s="208"/>
      <c r="O82" s="208"/>
      <c r="P82" s="208"/>
      <c r="Q82" s="208"/>
      <c r="R82" s="208"/>
      <c r="S82" s="208"/>
      <c r="T82" s="208"/>
      <c r="U82" s="208"/>
      <c r="V82" s="208"/>
      <c r="W82" s="208"/>
      <c r="X82" s="208"/>
    </row>
    <row r="83" spans="1:24" ht="26.15" customHeight="1">
      <c r="A83" s="207" t="s">
        <v>213</v>
      </c>
      <c r="B83" s="207"/>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12.75" customHeight="1">
      <c r="A84" s="207" t="s">
        <v>214</v>
      </c>
      <c r="B84" s="207"/>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12.75">
      <c r="A85" s="207" t="s">
        <v>215</v>
      </c>
      <c r="B85" s="207"/>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12.75" customHeight="1">
      <c r="A86" s="203" t="s">
        <v>216</v>
      </c>
      <c r="B86" s="203"/>
      <c r="C86" s="204"/>
      <c r="D86" s="204"/>
      <c r="E86" s="204"/>
      <c r="F86" s="204"/>
      <c r="G86" s="204"/>
      <c r="H86" s="204"/>
      <c r="I86" s="204"/>
      <c r="J86" s="204"/>
      <c r="K86" s="204"/>
      <c r="L86" s="204"/>
      <c r="M86" s="204"/>
      <c r="N86" s="204"/>
      <c r="O86" s="204"/>
      <c r="P86" s="204"/>
      <c r="Q86" s="204"/>
      <c r="R86" s="204"/>
      <c r="S86" s="204"/>
      <c r="T86" s="204"/>
      <c r="U86" s="204"/>
      <c r="V86" s="204"/>
      <c r="W86" s="204"/>
      <c r="X86" s="204"/>
    </row>
    <row r="87" spans="1:24" ht="12.75">
      <c r="A87" s="207" t="s">
        <v>217</v>
      </c>
      <c r="B87" s="207"/>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12.75">
      <c r="A88" s="207" t="s">
        <v>218</v>
      </c>
      <c r="B88" s="207"/>
      <c r="C88" s="208"/>
      <c r="D88" s="208"/>
      <c r="E88" s="208"/>
      <c r="F88" s="208"/>
      <c r="G88" s="208"/>
      <c r="H88" s="208"/>
      <c r="I88" s="208"/>
      <c r="J88" s="208"/>
      <c r="K88" s="208"/>
      <c r="L88" s="208"/>
      <c r="M88" s="208"/>
      <c r="N88" s="208"/>
      <c r="O88" s="208"/>
      <c r="P88" s="208"/>
      <c r="Q88" s="208"/>
      <c r="R88" s="208"/>
      <c r="S88" s="208"/>
      <c r="T88" s="208"/>
      <c r="U88" s="208"/>
      <c r="V88" s="208"/>
      <c r="W88" s="208"/>
      <c r="X88" s="208"/>
    </row>
    <row r="90" spans="1:24" ht="13.6">
      <c r="A90" s="211" t="s">
        <v>219</v>
      </c>
      <c r="B90" s="211"/>
      <c r="C90" s="212"/>
      <c r="D90" s="212"/>
      <c r="E90" s="212"/>
      <c r="F90" s="212"/>
      <c r="G90" s="212"/>
      <c r="H90" s="212"/>
      <c r="I90" s="212"/>
      <c r="J90" s="212"/>
      <c r="K90" s="212"/>
      <c r="L90" s="212"/>
      <c r="M90" s="212"/>
      <c r="N90" s="212"/>
      <c r="O90" s="212"/>
      <c r="P90" s="212"/>
      <c r="Q90" s="212"/>
      <c r="R90" s="212"/>
      <c r="S90" s="212"/>
      <c r="T90" s="212"/>
      <c r="U90" s="212"/>
      <c r="V90" s="212"/>
      <c r="W90" s="212"/>
      <c r="X90" s="212"/>
    </row>
    <row r="91" spans="1:24" ht="13.6">
      <c r="A91" s="40"/>
      <c r="B91" s="40"/>
      <c r="C91" s="41"/>
      <c r="D91" s="41"/>
      <c r="E91" s="41"/>
      <c r="F91" s="41"/>
      <c r="G91" s="41"/>
      <c r="H91" s="41"/>
      <c r="I91" s="41"/>
      <c r="J91" s="41"/>
      <c r="K91" s="41"/>
      <c r="L91" s="41"/>
      <c r="M91" s="41"/>
      <c r="N91" s="41"/>
      <c r="O91" s="41"/>
      <c r="P91" s="41"/>
      <c r="Q91" s="41"/>
      <c r="R91" s="41"/>
      <c r="S91" s="41"/>
      <c r="T91" s="41"/>
      <c r="U91" s="41"/>
      <c r="V91" s="41"/>
      <c r="W91" s="41"/>
      <c r="X91" s="41"/>
    </row>
    <row r="92" spans="1:24" ht="12.75">
      <c r="A92" s="207" t="s">
        <v>220</v>
      </c>
      <c r="B92" s="207"/>
      <c r="C92" s="208"/>
      <c r="D92" s="208"/>
      <c r="E92" s="208"/>
      <c r="F92" s="208"/>
      <c r="G92" s="208"/>
      <c r="H92" s="208"/>
      <c r="I92" s="208"/>
      <c r="J92" s="208"/>
      <c r="K92" s="208"/>
      <c r="L92" s="208"/>
      <c r="M92" s="208"/>
      <c r="N92" s="208"/>
      <c r="O92" s="208"/>
      <c r="P92" s="208"/>
      <c r="Q92" s="208"/>
      <c r="R92" s="208"/>
      <c r="S92" s="208"/>
      <c r="T92" s="208"/>
      <c r="U92" s="208"/>
      <c r="V92" s="208"/>
      <c r="W92" s="208"/>
      <c r="X92" s="208"/>
    </row>
    <row r="93" spans="1:24" ht="12.75" customHeight="1">
      <c r="A93" s="203" t="s">
        <v>221</v>
      </c>
      <c r="B93" s="203"/>
      <c r="C93" s="204"/>
      <c r="D93" s="204"/>
      <c r="E93" s="204"/>
      <c r="F93" s="204"/>
      <c r="G93" s="204"/>
      <c r="H93" s="204"/>
      <c r="I93" s="204"/>
      <c r="J93" s="204"/>
      <c r="K93" s="204"/>
      <c r="L93" s="204"/>
      <c r="M93" s="204"/>
      <c r="N93" s="204"/>
      <c r="O93" s="204"/>
      <c r="P93" s="204"/>
      <c r="Q93" s="204"/>
      <c r="R93" s="204"/>
      <c r="S93" s="204"/>
      <c r="T93" s="204"/>
      <c r="U93" s="204"/>
      <c r="V93" s="204"/>
      <c r="W93" s="204"/>
      <c r="X93" s="204"/>
    </row>
    <row r="94" spans="1:24" ht="12.75" customHeight="1">
      <c r="A94" s="207" t="s">
        <v>222</v>
      </c>
      <c r="B94" s="207"/>
      <c r="C94" s="208"/>
      <c r="D94" s="208"/>
      <c r="E94" s="208"/>
      <c r="F94" s="208"/>
      <c r="G94" s="208"/>
      <c r="H94" s="208"/>
      <c r="I94" s="208"/>
      <c r="J94" s="208"/>
      <c r="K94" s="208"/>
      <c r="L94" s="208"/>
      <c r="M94" s="208"/>
      <c r="N94" s="208"/>
      <c r="O94" s="208"/>
      <c r="P94" s="208"/>
      <c r="Q94" s="208"/>
      <c r="R94" s="208"/>
      <c r="S94" s="208"/>
      <c r="T94" s="208"/>
      <c r="U94" s="208"/>
      <c r="V94" s="208"/>
      <c r="W94" s="208"/>
      <c r="X94" s="208"/>
    </row>
    <row r="95" spans="1:24" ht="12.75">
      <c r="A95" s="207" t="s">
        <v>223</v>
      </c>
      <c r="B95" s="207"/>
      <c r="C95" s="208"/>
      <c r="D95" s="208"/>
      <c r="E95" s="208"/>
      <c r="F95" s="208"/>
      <c r="G95" s="208"/>
      <c r="H95" s="208"/>
      <c r="I95" s="208"/>
      <c r="J95" s="208"/>
      <c r="K95" s="208"/>
      <c r="L95" s="208"/>
      <c r="M95" s="208"/>
      <c r="N95" s="208"/>
      <c r="O95" s="208"/>
      <c r="P95" s="208"/>
      <c r="Q95" s="208"/>
      <c r="R95" s="208"/>
      <c r="S95" s="208"/>
      <c r="T95" s="208"/>
      <c r="U95" s="208"/>
      <c r="V95" s="208"/>
      <c r="W95" s="208"/>
      <c r="X95" s="208"/>
    </row>
    <row r="96" spans="1:24" ht="12.75" customHeight="1">
      <c r="A96" s="203"/>
      <c r="B96" s="203"/>
      <c r="C96" s="204"/>
      <c r="D96" s="204"/>
      <c r="E96" s="204"/>
      <c r="F96" s="204"/>
      <c r="G96" s="204"/>
      <c r="H96" s="204"/>
      <c r="I96" s="204"/>
      <c r="J96" s="204"/>
      <c r="K96" s="204"/>
      <c r="L96" s="204"/>
      <c r="M96" s="204"/>
      <c r="N96" s="204"/>
      <c r="O96" s="204"/>
      <c r="P96" s="204"/>
      <c r="Q96" s="204"/>
      <c r="R96" s="204"/>
      <c r="S96" s="204"/>
      <c r="T96" s="204"/>
      <c r="U96" s="204"/>
      <c r="V96" s="204"/>
      <c r="W96" s="204"/>
      <c r="X96" s="204"/>
    </row>
    <row r="97" spans="1:24" ht="13.6">
      <c r="A97" s="211" t="s">
        <v>224</v>
      </c>
      <c r="B97" s="211"/>
      <c r="C97" s="212"/>
      <c r="D97" s="212"/>
      <c r="E97" s="212"/>
      <c r="F97" s="212"/>
      <c r="G97" s="212"/>
      <c r="H97" s="212"/>
      <c r="I97" s="212"/>
      <c r="J97" s="212"/>
      <c r="K97" s="212"/>
      <c r="L97" s="212"/>
      <c r="M97" s="212"/>
      <c r="N97" s="212"/>
      <c r="O97" s="212"/>
      <c r="P97" s="212"/>
      <c r="Q97" s="212"/>
      <c r="R97" s="212"/>
      <c r="S97" s="212"/>
      <c r="T97" s="212"/>
      <c r="U97" s="212"/>
      <c r="V97" s="212"/>
      <c r="W97" s="212"/>
      <c r="X97" s="212"/>
    </row>
    <row r="98" spans="1:24" ht="12.75" customHeight="1">
      <c r="A98" s="203"/>
      <c r="B98" s="203"/>
      <c r="C98" s="204"/>
      <c r="D98" s="204"/>
      <c r="E98" s="204"/>
      <c r="F98" s="204"/>
      <c r="G98" s="204"/>
      <c r="H98" s="204"/>
      <c r="I98" s="204"/>
      <c r="J98" s="204"/>
      <c r="K98" s="204"/>
      <c r="L98" s="204"/>
      <c r="M98" s="204"/>
      <c r="N98" s="204"/>
      <c r="O98" s="204"/>
      <c r="P98" s="204"/>
      <c r="Q98" s="204"/>
      <c r="R98" s="204"/>
      <c r="S98" s="204"/>
      <c r="T98" s="204"/>
      <c r="U98" s="204"/>
      <c r="V98" s="204"/>
      <c r="W98" s="204"/>
      <c r="X98" s="204"/>
    </row>
    <row r="99" spans="1:24" ht="12.75" customHeight="1">
      <c r="A99" s="207" t="s">
        <v>225</v>
      </c>
      <c r="B99" s="207"/>
      <c r="C99" s="208"/>
      <c r="D99" s="208"/>
      <c r="E99" s="208"/>
      <c r="F99" s="208"/>
      <c r="G99" s="208"/>
      <c r="H99" s="208"/>
      <c r="I99" s="208"/>
      <c r="J99" s="208"/>
      <c r="K99" s="208"/>
      <c r="L99" s="208"/>
      <c r="M99" s="208"/>
      <c r="N99" s="208"/>
      <c r="O99" s="208"/>
      <c r="P99" s="208"/>
      <c r="Q99" s="208"/>
      <c r="R99" s="208"/>
      <c r="S99" s="208"/>
      <c r="T99" s="208"/>
      <c r="U99" s="208"/>
      <c r="V99" s="208"/>
      <c r="W99" s="208"/>
      <c r="X99" s="208"/>
    </row>
    <row r="100" spans="1:24" ht="12.75" customHeight="1">
      <c r="A100" s="207" t="s">
        <v>226</v>
      </c>
      <c r="B100" s="207"/>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row>
    <row r="101" spans="1:24" ht="12.75">
      <c r="A101" s="207" t="s">
        <v>227</v>
      </c>
      <c r="B101" s="207"/>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row>
    <row r="102" spans="1:24" ht="12.75" customHeight="1">
      <c r="A102" s="18"/>
      <c r="B102" s="18"/>
      <c r="C102" s="24"/>
      <c r="D102" s="24"/>
      <c r="E102" s="24"/>
      <c r="F102" s="24"/>
      <c r="G102" s="24"/>
      <c r="H102" s="24"/>
      <c r="I102" s="24"/>
      <c r="J102" s="24"/>
      <c r="K102" s="24"/>
      <c r="L102" s="24"/>
      <c r="M102" s="24"/>
      <c r="N102" s="24"/>
      <c r="O102" s="24"/>
      <c r="P102" s="24"/>
      <c r="Q102" s="24"/>
      <c r="R102" s="24"/>
      <c r="S102" s="24"/>
      <c r="T102" s="24"/>
      <c r="U102" s="24"/>
      <c r="V102" s="24"/>
      <c r="W102" s="24"/>
      <c r="X102" s="24"/>
    </row>
    <row r="103" spans="1:24" ht="12.75" customHeight="1">
      <c r="A103" s="18"/>
      <c r="B103" s="18"/>
      <c r="C103" s="24"/>
      <c r="D103" s="24"/>
      <c r="E103" s="24"/>
      <c r="F103" s="24"/>
      <c r="G103" s="24"/>
      <c r="H103" s="24"/>
      <c r="I103" s="24"/>
      <c r="J103" s="24"/>
      <c r="K103" s="24"/>
      <c r="L103" s="24"/>
      <c r="M103" s="24"/>
      <c r="N103" s="24"/>
      <c r="O103" s="24"/>
      <c r="P103" s="24"/>
      <c r="Q103" s="24"/>
      <c r="R103" s="24"/>
      <c r="S103" s="24"/>
      <c r="T103" s="24"/>
      <c r="U103" s="24"/>
      <c r="V103" s="24"/>
      <c r="W103" s="24"/>
      <c r="X103" s="24"/>
    </row>
    <row r="104" spans="1:24" ht="12.75" customHeight="1">
      <c r="A104" s="18"/>
      <c r="B104" s="18"/>
      <c r="C104" s="24"/>
      <c r="D104" s="24"/>
      <c r="E104" s="24"/>
      <c r="F104" s="24"/>
      <c r="G104" s="24"/>
      <c r="H104" s="24"/>
      <c r="I104" s="24"/>
      <c r="J104" s="24"/>
      <c r="K104" s="24"/>
      <c r="L104" s="24"/>
      <c r="M104" s="24"/>
      <c r="N104" s="24"/>
      <c r="O104" s="24"/>
      <c r="P104" s="24"/>
      <c r="Q104" s="24"/>
      <c r="R104" s="24"/>
      <c r="S104" s="24"/>
      <c r="T104" s="24"/>
      <c r="U104" s="24"/>
      <c r="V104" s="24"/>
      <c r="W104" s="24"/>
      <c r="X104" s="24"/>
    </row>
    <row r="105" spans="1:24" ht="12.75" customHeight="1">
      <c r="A105" s="18"/>
      <c r="B105" s="18"/>
      <c r="C105" s="24"/>
      <c r="D105" s="24"/>
      <c r="E105" s="24"/>
      <c r="F105" s="24"/>
      <c r="G105" s="24"/>
      <c r="H105" s="24"/>
      <c r="I105" s="24"/>
      <c r="J105" s="24"/>
      <c r="K105" s="24"/>
      <c r="L105" s="24"/>
      <c r="M105" s="24"/>
      <c r="N105" s="24"/>
      <c r="O105" s="24"/>
      <c r="P105" s="24"/>
      <c r="Q105" s="24"/>
      <c r="R105" s="24"/>
      <c r="S105" s="24"/>
      <c r="T105" s="24"/>
      <c r="U105" s="24"/>
      <c r="V105" s="24"/>
      <c r="W105" s="24"/>
      <c r="X105" s="24"/>
    </row>
    <row r="106" ht="12.75" customHeight="1"/>
    <row r="107" spans="1:17" ht="12.75">
      <c r="A107"/>
      <c r="F107"/>
      <c r="H107" s="10"/>
      <c r="L107" s="1" t="s">
        <v>131</v>
      </c>
      <c r="O107" s="1"/>
      <c r="P107" s="10"/>
      <c r="Q107" s="1"/>
    </row>
    <row r="108" spans="1:19" ht="12.75" customHeight="1">
      <c r="A108"/>
      <c r="F108"/>
      <c r="G108" s="23"/>
      <c r="H108" s="23"/>
      <c r="L108" s="1" t="s">
        <v>132</v>
      </c>
      <c r="P108" s="23"/>
      <c r="S108" s="175">
        <f ca="1">T38</f>
        <v>0.2639</v>
      </c>
    </row>
    <row r="109" spans="1:19" ht="12.75">
      <c r="A109"/>
      <c r="F109"/>
      <c r="G109" s="23"/>
      <c r="H109" s="23"/>
      <c r="L109" s="1" t="s">
        <v>133</v>
      </c>
      <c r="P109" s="23"/>
      <c r="S109" s="175" t="str">
        <f ca="1">U38</f>
        <v/>
      </c>
    </row>
    <row r="110" spans="1:19" ht="12.75" customHeight="1">
      <c r="A110"/>
      <c r="F110"/>
      <c r="G110" s="23"/>
      <c r="H110" s="23"/>
      <c r="L110" s="1" t="s">
        <v>134</v>
      </c>
      <c r="P110" s="23"/>
      <c r="S110" s="175" t="str">
        <f ca="1">V38</f>
        <v/>
      </c>
    </row>
    <row r="111" spans="1:19" ht="12.75">
      <c r="A111"/>
      <c r="F111"/>
      <c r="G111" s="23"/>
      <c r="H111" s="23"/>
      <c r="L111" s="1" t="s">
        <v>135</v>
      </c>
      <c r="P111" s="23"/>
      <c r="S111" s="175" t="str">
        <f ca="1">W38</f>
        <v/>
      </c>
    </row>
    <row r="112" spans="1:19" ht="12.75" customHeight="1">
      <c r="A112"/>
      <c r="F112"/>
      <c r="G112" s="23"/>
      <c r="H112" s="23"/>
      <c r="L112" s="1" t="s">
        <v>136</v>
      </c>
      <c r="P112" s="23"/>
      <c r="S112" s="175" t="str">
        <f ca="1">X38</f>
        <v/>
      </c>
    </row>
    <row r="113" spans="1:12" ht="12.75">
      <c r="A113"/>
      <c r="H113" s="10"/>
      <c r="L113" s="1" t="s">
        <v>66</v>
      </c>
    </row>
    <row r="114" spans="1:12" ht="12.75" customHeight="1">
      <c r="A114"/>
      <c r="H114" s="10"/>
      <c r="L114" s="1" t="s">
        <v>67</v>
      </c>
    </row>
    <row r="115" spans="1:16" ht="12.75">
      <c r="A115"/>
      <c r="H115" s="10"/>
      <c r="L115" s="1" t="s">
        <v>68</v>
      </c>
      <c r="P115" t="s">
        <v>112</v>
      </c>
    </row>
    <row r="116" spans="1:16" ht="12.75">
      <c r="A116"/>
      <c r="H116" s="10"/>
      <c r="L116" s="1" t="s">
        <v>69</v>
      </c>
      <c r="P116" t="s">
        <v>113</v>
      </c>
    </row>
    <row r="117" spans="1:16" ht="12.75">
      <c r="A117"/>
      <c r="L117" s="1" t="s">
        <v>70</v>
      </c>
      <c r="P117" t="s">
        <v>114</v>
      </c>
    </row>
    <row r="118" spans="1:16" ht="12.75">
      <c r="A118"/>
      <c r="L118" s="1" t="s">
        <v>71</v>
      </c>
      <c r="P118" t="s">
        <v>94</v>
      </c>
    </row>
    <row r="119" spans="1:16" ht="12.75">
      <c r="A119"/>
      <c r="L119" s="1" t="s">
        <v>72</v>
      </c>
      <c r="P119" t="s">
        <v>95</v>
      </c>
    </row>
    <row r="120" spans="1:16" ht="12.75">
      <c r="A120"/>
      <c r="L120" s="1" t="s">
        <v>73</v>
      </c>
      <c r="P120" t="s">
        <v>96</v>
      </c>
    </row>
    <row r="121" spans="1:12" ht="12.75">
      <c r="A121"/>
      <c r="L121" s="1" t="s">
        <v>74</v>
      </c>
    </row>
    <row r="122" spans="1:16" ht="12.75">
      <c r="A122"/>
      <c r="L122" s="1" t="s">
        <v>75</v>
      </c>
      <c r="P122" t="s">
        <v>97</v>
      </c>
    </row>
    <row r="123" spans="1:16" ht="12.75">
      <c r="A123"/>
      <c r="L123" s="1" t="s">
        <v>76</v>
      </c>
      <c r="P123" t="s">
        <v>98</v>
      </c>
    </row>
    <row r="124" spans="1:12" ht="12.75">
      <c r="A124"/>
      <c r="L124" s="1" t="s">
        <v>77</v>
      </c>
    </row>
    <row r="125" spans="1:12" ht="12.75">
      <c r="A125"/>
      <c r="L125" s="1" t="s">
        <v>78</v>
      </c>
    </row>
    <row r="126" spans="1:12" ht="12.75">
      <c r="A126"/>
      <c r="L126" s="1" t="s">
        <v>79</v>
      </c>
    </row>
    <row r="127" spans="1:12" ht="12.75">
      <c r="A127"/>
      <c r="L127" s="1" t="s">
        <v>80</v>
      </c>
    </row>
    <row r="128" spans="1:12" ht="12.75">
      <c r="A128"/>
      <c r="L128" s="1" t="s">
        <v>81</v>
      </c>
    </row>
    <row r="129" spans="1:12" ht="12.75">
      <c r="A129"/>
      <c r="L129" s="1" t="s">
        <v>82</v>
      </c>
    </row>
    <row r="130" spans="1:12" ht="12.75">
      <c r="A130"/>
      <c r="L130" s="1" t="s">
        <v>83</v>
      </c>
    </row>
    <row r="131" spans="1:12" ht="12.75">
      <c r="A131"/>
      <c r="L131" s="1" t="s">
        <v>84</v>
      </c>
    </row>
    <row r="132" spans="1:12" ht="12.75">
      <c r="A132"/>
      <c r="L132" s="1" t="s">
        <v>65</v>
      </c>
    </row>
    <row r="133" spans="1:12" ht="12.75">
      <c r="A133"/>
      <c r="L133" s="1" t="s">
        <v>85</v>
      </c>
    </row>
    <row r="134" spans="1:12" ht="12.75">
      <c r="A134"/>
      <c r="L134" s="1"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05" t="str">
        <f>A28</f>
        <v>Nº OPERAÇÃO</v>
      </c>
      <c r="B220" s="213"/>
      <c r="C220" s="205" t="str">
        <f>C28</f>
        <v>GESTOR</v>
      </c>
      <c r="D220" s="206"/>
      <c r="E220" s="213"/>
      <c r="F220" s="205" t="str">
        <f>F28</f>
        <v>PROGRAMA</v>
      </c>
      <c r="G220" s="206"/>
      <c r="H220" s="206"/>
      <c r="I220" s="213"/>
      <c r="J220" s="205" t="str">
        <f>J28</f>
        <v>AÇÃO / MODALIDADE</v>
      </c>
      <c r="K220" s="206"/>
      <c r="L220" s="206"/>
      <c r="M220" s="206"/>
      <c r="N220" s="206"/>
      <c r="O220" s="213"/>
      <c r="P220" s="205" t="str">
        <f>P28</f>
        <v>OBJETO</v>
      </c>
      <c r="Q220" s="206"/>
      <c r="R220" s="206"/>
      <c r="S220" s="206"/>
      <c r="T220" s="206"/>
      <c r="U220" s="206"/>
      <c r="V220" s="206"/>
      <c r="W220" s="206"/>
      <c r="X220" s="213"/>
    </row>
    <row r="221" spans="1:24" ht="12.75" customHeight="1">
      <c r="A221" s="245" t="str">
        <f>IF(A29="","",A29)</f>
        <v>1053.641-90/2018</v>
      </c>
      <c r="B221" s="247"/>
      <c r="C221" s="245" t="str">
        <f>IF(C29="","",C29)</f>
        <v>Ministério das Cidades</v>
      </c>
      <c r="D221" s="246"/>
      <c r="E221" s="247"/>
      <c r="F221" s="245" t="str">
        <f>IF(F29="","",F29)</f>
        <v>CQ - Planejamento Urbano</v>
      </c>
      <c r="G221" s="246"/>
      <c r="H221" s="246"/>
      <c r="I221" s="247"/>
      <c r="J221" s="245" t="str">
        <f>IF(J29="","",J29)</f>
        <v>Planejamento Urbano</v>
      </c>
      <c r="K221" s="246"/>
      <c r="L221" s="246" t="e">
        <f>IF(#REF!="","",#REF!)</f>
        <v>#REF!</v>
      </c>
      <c r="M221" s="246"/>
      <c r="N221" s="246" t="e">
        <f>IF(#REF!="","",#REF!)</f>
        <v>#REF!</v>
      </c>
      <c r="O221" s="247"/>
      <c r="P221" s="245" t="str">
        <f>IF(P29="","",P29)</f>
        <v>Implantação de Pavimentação em vias públicas urbanas</v>
      </c>
      <c r="Q221" s="246"/>
      <c r="R221" s="246"/>
      <c r="S221" s="246"/>
      <c r="T221" s="246"/>
      <c r="U221" s="246"/>
      <c r="V221" s="246"/>
      <c r="W221" s="246"/>
      <c r="X221" s="247"/>
    </row>
    <row r="222" spans="1:8" ht="6" customHeight="1">
      <c r="A222"/>
      <c r="B222"/>
      <c r="F222"/>
      <c r="G222"/>
      <c r="H222"/>
    </row>
    <row r="223" spans="1:24" ht="13.6">
      <c r="A223" s="205" t="str">
        <f>A31</f>
        <v>PROPONENTE / TOMADOR</v>
      </c>
      <c r="B223" s="206"/>
      <c r="C223" s="206"/>
      <c r="D223" s="206"/>
      <c r="E223" s="206"/>
      <c r="F223" s="206"/>
      <c r="G223" s="205" t="str">
        <f>G31</f>
        <v>MUNICÍPIO / UF</v>
      </c>
      <c r="H223" s="206"/>
      <c r="I223" s="206"/>
      <c r="J223" s="213"/>
      <c r="K223" s="205" t="str">
        <f>K31</f>
        <v>LOCALIDADE / ENDEREÇO</v>
      </c>
      <c r="L223" s="206"/>
      <c r="M223" s="206"/>
      <c r="N223" s="206"/>
      <c r="O223" s="206"/>
      <c r="P223" s="213"/>
      <c r="Q223" s="205" t="str">
        <f>Q31</f>
        <v>APELIDO DO EMPREENDIMENTO</v>
      </c>
      <c r="R223" s="206"/>
      <c r="S223" s="206"/>
      <c r="T223" s="206"/>
      <c r="U223" s="206"/>
      <c r="V223" s="206"/>
      <c r="W223" s="206"/>
      <c r="X223" s="213"/>
    </row>
    <row r="224" spans="1:24" ht="12.75" customHeight="1">
      <c r="A224" s="243" t="str">
        <f>IF(A32="","",A32)</f>
        <v>Prefeitura Municipal de Tenente Portela</v>
      </c>
      <c r="B224" s="244"/>
      <c r="C224" s="244"/>
      <c r="D224" s="244"/>
      <c r="E224" s="244"/>
      <c r="F224" s="244"/>
      <c r="G224" s="245" t="str">
        <f>IF(G32="","",G32)</f>
        <v>Tenente Portela</v>
      </c>
      <c r="H224" s="246" t="str">
        <f>IF(I32="","",I32)</f>
        <v/>
      </c>
      <c r="I224" s="246"/>
      <c r="J224" s="247" t="e">
        <f>IF(#REF!="","",#REF!)</f>
        <v>#REF!</v>
      </c>
      <c r="K224" s="245" t="str">
        <f>IF(K32="","",K32)</f>
        <v>Rua Santos Dumond e Rua Tupis</v>
      </c>
      <c r="L224" s="246"/>
      <c r="M224" s="246"/>
      <c r="N224" s="246"/>
      <c r="O224" s="246"/>
      <c r="P224" s="247"/>
      <c r="Q224" s="245" t="str">
        <f>IF(Q32="","",Q32)</f>
        <v>Pavimentação Asfáltica Rua Tupis e Santos Dumont</v>
      </c>
      <c r="R224" s="246"/>
      <c r="S224" s="246"/>
      <c r="T224" s="246"/>
      <c r="U224" s="246"/>
      <c r="V224" s="246"/>
      <c r="W224" s="246"/>
      <c r="X224" s="247"/>
    </row>
    <row r="225" spans="1:8" ht="6" customHeight="1" hidden="1">
      <c r="A225"/>
      <c r="B225"/>
      <c r="F225"/>
      <c r="G225"/>
      <c r="H225"/>
    </row>
    <row r="226" spans="1:24" ht="13.6" hidden="1">
      <c r="A226" s="205" t="str">
        <f>A37</f>
        <v>DATA BASE</v>
      </c>
      <c r="B226" s="213"/>
      <c r="C226" s="78" t="str">
        <f>C37</f>
        <v>DESON.</v>
      </c>
      <c r="D226" s="205" t="str">
        <f>D37</f>
        <v>LOCALIDADE DO SINAPI</v>
      </c>
      <c r="E226" s="206"/>
      <c r="F226" s="213"/>
      <c r="G226" s="205" t="str">
        <f>G37</f>
        <v>DESCRIÇÃO DO LOTE</v>
      </c>
      <c r="H226" s="206"/>
      <c r="I226" s="206"/>
      <c r="J226" s="206"/>
      <c r="K226" s="206"/>
      <c r="L226" s="206"/>
      <c r="M226" s="206"/>
      <c r="N226" s="206"/>
      <c r="O226" s="206"/>
      <c r="P226" s="206"/>
      <c r="Q226" s="206"/>
      <c r="R226" s="206"/>
      <c r="S226" s="213"/>
      <c r="T226" s="79" t="str">
        <f>T37</f>
        <v>BDI 1</v>
      </c>
      <c r="U226" s="79" t="str">
        <f>U37</f>
        <v>BDI 2</v>
      </c>
      <c r="V226" s="79" t="str">
        <f>V37</f>
        <v>BDI 3</v>
      </c>
      <c r="W226" s="79" t="str">
        <f>W37</f>
        <v>BDI 4</v>
      </c>
      <c r="X226" s="79" t="str">
        <f>X37</f>
        <v>BDI 5</v>
      </c>
    </row>
    <row r="227" spans="1:24" ht="12.75" customHeight="1" hidden="1">
      <c r="A227" s="248">
        <f>IF(A38="","",A38)</f>
        <v>43374</v>
      </c>
      <c r="B227" s="249"/>
      <c r="C227" s="115" t="str">
        <f aca="true" t="shared" si="0" ref="C227:X227">IF(C38="","",C38)</f>
        <v>Sim</v>
      </c>
      <c r="D227" s="250" t="str">
        <f t="shared" si="0"/>
        <v>Porto Alegre / RS</v>
      </c>
      <c r="E227" s="251" t="str">
        <f t="shared" si="0"/>
        <v/>
      </c>
      <c r="F227" s="252" t="str">
        <f t="shared" si="0"/>
        <v/>
      </c>
      <c r="G227" s="250" t="str">
        <f t="shared" si="0"/>
        <v>Pavimentação Asfáltica Rua Santos Dumond e Rua Tupis</v>
      </c>
      <c r="H227" s="251" t="str">
        <f t="shared" si="0"/>
        <v/>
      </c>
      <c r="I227" s="251" t="str">
        <f t="shared" si="0"/>
        <v/>
      </c>
      <c r="J227" s="251" t="str">
        <f t="shared" si="0"/>
        <v/>
      </c>
      <c r="K227" s="251" t="str">
        <f t="shared" si="0"/>
        <v/>
      </c>
      <c r="L227" s="251" t="str">
        <f t="shared" si="0"/>
        <v/>
      </c>
      <c r="M227" s="251" t="str">
        <f t="shared" si="0"/>
        <v/>
      </c>
      <c r="N227" s="251" t="str">
        <f t="shared" si="0"/>
        <v/>
      </c>
      <c r="O227" s="251" t="str">
        <f t="shared" si="0"/>
        <v/>
      </c>
      <c r="P227" s="251" t="str">
        <f t="shared" si="0"/>
        <v/>
      </c>
      <c r="Q227" s="251" t="str">
        <f t="shared" si="0"/>
        <v/>
      </c>
      <c r="R227" s="251" t="str">
        <f t="shared" si="0"/>
        <v/>
      </c>
      <c r="S227" s="252" t="str">
        <f t="shared" si="0"/>
        <v/>
      </c>
      <c r="T227" s="117">
        <f ca="1" t="shared" si="0"/>
        <v>0.2639</v>
      </c>
      <c r="U227" s="81" t="str">
        <f ca="1" t="shared" si="0"/>
        <v/>
      </c>
      <c r="V227" s="81" t="str">
        <f ca="1" t="shared" si="0"/>
        <v/>
      </c>
      <c r="W227" s="81" t="str">
        <f ca="1" t="shared" si="0"/>
        <v/>
      </c>
      <c r="X227" s="81" t="str">
        <f ca="1" t="shared" si="0"/>
        <v/>
      </c>
    </row>
    <row r="228" spans="1:8" ht="6" customHeight="1">
      <c r="A228"/>
      <c r="B228"/>
      <c r="F228"/>
      <c r="G228"/>
      <c r="H228"/>
    </row>
    <row r="229" spans="1:24" ht="12.75" customHeight="1">
      <c r="A229" s="205" t="s">
        <v>87</v>
      </c>
      <c r="B229" s="213"/>
      <c r="C229" s="205" t="s">
        <v>163</v>
      </c>
      <c r="D229" s="206"/>
      <c r="E229" s="206"/>
      <c r="F229" s="206"/>
      <c r="G229" s="206"/>
      <c r="H229" s="205" t="s">
        <v>16</v>
      </c>
      <c r="I229" s="206"/>
      <c r="J229" s="20" t="s">
        <v>91</v>
      </c>
      <c r="K229" s="205" t="s">
        <v>88</v>
      </c>
      <c r="L229" s="206"/>
      <c r="M229" s="213"/>
      <c r="N229" s="20" t="s">
        <v>92</v>
      </c>
      <c r="O229" s="205" t="s">
        <v>93</v>
      </c>
      <c r="P229" s="206"/>
      <c r="Q229" s="206"/>
      <c r="R229" s="206"/>
      <c r="S229" s="206"/>
      <c r="T229" s="213"/>
      <c r="U229" s="220" t="s">
        <v>89</v>
      </c>
      <c r="V229" s="221"/>
      <c r="W229" s="220" t="s">
        <v>90</v>
      </c>
      <c r="X229" s="221"/>
    </row>
    <row r="230" spans="1:24" ht="12.75" customHeight="1">
      <c r="A230" s="250" t="str">
        <f>IF(A43="","",A43)</f>
        <v/>
      </c>
      <c r="B230" s="252"/>
      <c r="C230" s="250" t="str">
        <f>IF(C43="","",C43)</f>
        <v/>
      </c>
      <c r="D230" s="251"/>
      <c r="E230" s="251" t="str">
        <f>IF(E43="","",E43)</f>
        <v/>
      </c>
      <c r="F230" s="251"/>
      <c r="G230" s="251" t="str">
        <f>IF(G43="","",G43)</f>
        <v/>
      </c>
      <c r="H230" s="267" t="str">
        <f>IF(H43="","",H43)</f>
        <v/>
      </c>
      <c r="I230" s="268" t="str">
        <f>IF(I43="","",I43)</f>
        <v/>
      </c>
      <c r="J230" s="116" t="str">
        <f>IF(J43="","",J43)</f>
        <v/>
      </c>
      <c r="K230" s="259" t="str">
        <f>IF(K43="","",K43)</f>
        <v/>
      </c>
      <c r="L230" s="261"/>
      <c r="M230" s="262" t="str">
        <f>IF(M43="","",M43)</f>
        <v/>
      </c>
      <c r="N230" s="118" t="str">
        <f>IF(N43="","",N43)</f>
        <v/>
      </c>
      <c r="O230" s="259" t="str">
        <f>IF(O43="","",O43)</f>
        <v/>
      </c>
      <c r="P230" s="260"/>
      <c r="Q230" s="260" t="str">
        <f>IF(Q43="","",Q43)</f>
        <v/>
      </c>
      <c r="R230" s="261"/>
      <c r="S230" s="261" t="str">
        <f>IF(S43="","",S43)</f>
        <v/>
      </c>
      <c r="T230" s="262"/>
      <c r="U230" s="265" t="str">
        <f>IF(U43="","",U43)</f>
        <v/>
      </c>
      <c r="V230" s="266"/>
      <c r="W230" s="263" t="str">
        <f>IF(W43="","",W43)</f>
        <v/>
      </c>
      <c r="X230" s="264"/>
    </row>
    <row r="232" spans="1:8" ht="6" customHeight="1">
      <c r="A232"/>
      <c r="B232"/>
      <c r="F232"/>
      <c r="G232"/>
      <c r="H232"/>
    </row>
    <row r="233" spans="1:8" ht="12.75">
      <c r="A233"/>
      <c r="B233"/>
      <c r="F233"/>
      <c r="G233"/>
      <c r="H233"/>
    </row>
    <row r="234" spans="1:8" ht="12.75">
      <c r="A234"/>
      <c r="B234"/>
      <c r="F234"/>
      <c r="G234"/>
      <c r="H234"/>
    </row>
    <row r="235" spans="1:8" ht="12.75">
      <c r="A235"/>
      <c r="B235"/>
      <c r="F235"/>
      <c r="G235"/>
      <c r="H235"/>
    </row>
    <row r="236" spans="1:8" ht="12.75" customHeight="1" hidden="1">
      <c r="A236"/>
      <c r="B236"/>
      <c r="F236"/>
      <c r="G236"/>
      <c r="H236"/>
    </row>
    <row r="237" spans="1:8" ht="6" customHeight="1" hidden="1">
      <c r="A237"/>
      <c r="B237"/>
      <c r="F237"/>
      <c r="G237"/>
      <c r="H237"/>
    </row>
    <row r="238" spans="1:8" ht="12.75" customHeight="1" hidden="1">
      <c r="A238"/>
      <c r="B238"/>
      <c r="F238"/>
      <c r="G238"/>
      <c r="H238"/>
    </row>
    <row r="239" spans="1:8" ht="12.75" customHeight="1" hidden="1">
      <c r="A239"/>
      <c r="B239"/>
      <c r="F239"/>
      <c r="G239"/>
      <c r="H239"/>
    </row>
    <row r="240" spans="1:8" ht="6" customHeight="1" hidden="1">
      <c r="A240"/>
      <c r="B240"/>
      <c r="F240"/>
      <c r="G240"/>
      <c r="H240"/>
    </row>
    <row r="241" spans="1:8" ht="12.75" customHeight="1" hidden="1">
      <c r="A241"/>
      <c r="B241"/>
      <c r="F241"/>
      <c r="G241"/>
      <c r="H241"/>
    </row>
    <row r="242" spans="1:8" ht="12.75" customHeight="1" hidden="1">
      <c r="A242"/>
      <c r="B242"/>
      <c r="F242"/>
      <c r="G242"/>
      <c r="H242"/>
    </row>
    <row r="243" spans="1:8" ht="12.75" customHeight="1" hidden="1">
      <c r="A243"/>
      <c r="B243"/>
      <c r="F243"/>
      <c r="G243"/>
      <c r="H243"/>
    </row>
    <row r="244" spans="1:8" ht="12.75" customHeight="1">
      <c r="A244"/>
      <c r="B244"/>
      <c r="F244"/>
      <c r="G244"/>
      <c r="H244"/>
    </row>
    <row r="245" spans="1:8" ht="6" customHeight="1">
      <c r="A245"/>
      <c r="B245"/>
      <c r="F245"/>
      <c r="G245"/>
      <c r="H245"/>
    </row>
    <row r="246" spans="1:8" ht="12.75" customHeight="1">
      <c r="A246"/>
      <c r="B246"/>
      <c r="F246"/>
      <c r="G246"/>
      <c r="H246"/>
    </row>
    <row r="247" spans="1:8" ht="12.75" customHeight="1">
      <c r="A247"/>
      <c r="B247"/>
      <c r="F247"/>
      <c r="G247"/>
      <c r="H247"/>
    </row>
    <row r="248" spans="1:8" ht="12.75" customHeight="1">
      <c r="A248"/>
      <c r="B248"/>
      <c r="F248"/>
      <c r="G248"/>
      <c r="H248"/>
    </row>
    <row r="249" spans="1:8" ht="12.75" customHeight="1">
      <c r="A249"/>
      <c r="B249"/>
      <c r="F249"/>
      <c r="G249"/>
      <c r="H249"/>
    </row>
    <row r="250" spans="1:8" ht="6" customHeight="1">
      <c r="A250"/>
      <c r="B250"/>
      <c r="F250"/>
      <c r="G250"/>
      <c r="H250"/>
    </row>
    <row r="251" spans="1:8" ht="12.75">
      <c r="A251"/>
      <c r="B251"/>
      <c r="F251"/>
      <c r="G251"/>
      <c r="H251"/>
    </row>
    <row r="252" spans="1:8" ht="12.75">
      <c r="A252"/>
      <c r="B252"/>
      <c r="F252"/>
      <c r="G252"/>
      <c r="H252"/>
    </row>
    <row r="253" spans="1:8" ht="12.75">
      <c r="A253"/>
      <c r="B253"/>
      <c r="F253"/>
      <c r="G253"/>
      <c r="H253"/>
    </row>
    <row r="254" spans="1:8" ht="12.75">
      <c r="A254"/>
      <c r="B254"/>
      <c r="F254"/>
      <c r="G254"/>
      <c r="H254"/>
    </row>
    <row r="255" spans="1:8" ht="12.75">
      <c r="A255"/>
      <c r="B255"/>
      <c r="F255"/>
      <c r="G255"/>
      <c r="H255"/>
    </row>
    <row r="256" spans="1:8" ht="12.75">
      <c r="A256"/>
      <c r="B256"/>
      <c r="F256"/>
      <c r="G256"/>
      <c r="H256"/>
    </row>
    <row r="257" spans="1:8" ht="12.75">
      <c r="A257"/>
      <c r="B257"/>
      <c r="F257"/>
      <c r="G257"/>
      <c r="H257"/>
    </row>
  </sheetData>
  <sheetProtection algorithmName="SHA-512" hashValue="+K3+9a05bvRI0DKS6kFUGGJSGIbwB9n4bi9oSgdfFy+pzRD11ceqyuHTDiWdF9oUHLG9YD7HWfN0YD8KafidZA==" saltValue="uzJ8DJsvekig/MGJat0P0A==" spinCount="100000"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conditionalFormatting sqref="B54:E55 B56 B57:E57">
    <cfRule type="expression" priority="45" dxfId="93" stopIfTrue="1">
      <formula>$B54&lt;&gt;""</formula>
    </cfRule>
  </conditionalFormatting>
  <conditionalFormatting sqref="A48 H54:K54 H55:H56 H57:K57 A29:C29 J29 F29 A32 P29 G32 K32">
    <cfRule type="expression" priority="51" dxfId="93" stopIfTrue="1">
      <formula>A29&lt;&gt;""</formula>
    </cfRule>
  </conditionalFormatting>
  <conditionalFormatting sqref="G53:K54 G55:H56 G57:K57">
    <cfRule type="expression" priority="46" dxfId="163" stopIfTrue="1">
      <formula>$K$52&lt;&gt;"SIM"</formula>
    </cfRule>
  </conditionalFormatting>
  <conditionalFormatting sqref="A40:X43">
    <cfRule type="expression" priority="59" dxfId="50" stopIfTrue="1">
      <formula>OR(TipoOrçamento="BASE",TipoOrçamento="REPROGRAMADONPL")</formula>
    </cfRule>
    <cfRule type="expression" priority="60" dxfId="93" stopIfTrue="1">
      <formula>A40&lt;&gt;""</formula>
    </cfRule>
  </conditionalFormatting>
  <conditionalFormatting sqref="A35:X38">
    <cfRule type="expression" priority="61" dxfId="50" stopIfTrue="1">
      <formula>OR(TipoOrçamento="LICITADO",TipoOrçamento="REPROGRAMADOAC")</formula>
    </cfRule>
    <cfRule type="expression" priority="62" dxfId="93" stopIfTrue="1">
      <formula>A35&lt;&gt;""</formula>
    </cfRule>
  </conditionalFormatting>
  <conditionalFormatting sqref="Q32">
    <cfRule type="expression" priority="4" dxfId="93" stopIfTrue="1">
      <formula>Q32&lt;&gt;""</formula>
    </cfRule>
  </conditionalFormatting>
  <conditionalFormatting sqref="A29:C29 J29 F29 P29">
    <cfRule type="expression" priority="3" dxfId="93" stopIfTrue="1">
      <formula>A29&lt;&gt;""</formula>
    </cfRule>
  </conditionalFormatting>
  <conditionalFormatting sqref="A32 G32 K32">
    <cfRule type="expression" priority="2" dxfId="93" stopIfTrue="1">
      <formula>A32&lt;&gt;""</formula>
    </cfRule>
  </conditionalFormatting>
  <conditionalFormatting sqref="Q32">
    <cfRule type="expression" priority="1" dxfId="93"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rintOptions/>
  <pageMargins left="0.78740157480315" right="0.78740157480315" top="0.78740157480315" bottom="0.78740157480315" header="5.70866141732284" footer="0.590551181102362"/>
  <pageSetup fitToHeight="1" fitToWidth="1" horizontalDpi="600" verticalDpi="600" orientation="portrait" paperSize="9" scale="41"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4">
    <tabColor rgb="FFFFFF00"/>
    <pageSetUpPr fitToPage="1"/>
  </sheetPr>
  <dimension ref="A1:AE60"/>
  <sheetViews>
    <sheetView showGridLines="0" view="pageLayout" zoomScale="70" zoomScaleSheetLayoutView="100" zoomScalePageLayoutView="70" workbookViewId="0" topLeftCell="I1">
      <selection activeCell="N23" sqref="N23"/>
    </sheetView>
  </sheetViews>
  <sheetFormatPr defaultColWidth="0" defaultRowHeight="12.75" zeroHeight="1"/>
  <cols>
    <col min="1" max="1" width="30.28125" style="42" hidden="1" customWidth="1"/>
    <col min="2" max="3" width="9.140625" style="42" hidden="1" customWidth="1"/>
    <col min="4" max="4" width="23.57421875" style="42" hidden="1" customWidth="1"/>
    <col min="5" max="8" width="9.140625" style="42" hidden="1" customWidth="1"/>
    <col min="9" max="14" width="10.7109375" style="42" customWidth="1"/>
    <col min="15" max="15" width="12.8515625" style="42" customWidth="1"/>
    <col min="16" max="18" width="10.7109375" style="42" customWidth="1"/>
    <col min="19" max="19" width="3.7109375" style="42" customWidth="1"/>
    <col min="20" max="20" width="29.57421875" style="42" customWidth="1"/>
    <col min="21" max="21" width="13.7109375" style="42" customWidth="1"/>
    <col min="22" max="16384" width="9.140625" style="42" hidden="1" customWidth="1"/>
  </cols>
  <sheetData>
    <row r="1" spans="5:18" ht="15" customHeight="1">
      <c r="E1" s="43" t="s">
        <v>25</v>
      </c>
      <c r="F1" s="43" t="s">
        <v>26</v>
      </c>
      <c r="G1" s="43" t="s">
        <v>27</v>
      </c>
      <c r="N1" s="46" t="str">
        <f ca="1">"Quadro de Composição do BDI "&amp;MID(CELL("nome.arquivo",N1),5+FIND("BDI (",CELL("nome.arquivo",N1)),1)</f>
        <v>Quadro de Composição do BDI 1</v>
      </c>
      <c r="Q1"/>
      <c r="R1"/>
    </row>
    <row r="2" spans="1:18" ht="12.75">
      <c r="A2" s="42" t="s">
        <v>28</v>
      </c>
      <c r="B2" s="44" t="s">
        <v>29</v>
      </c>
      <c r="C2" s="42" t="str">
        <f aca="true" t="shared" si="0" ref="C2:C49">CONCATENATE(A2,"-",B2)</f>
        <v>Construção e Reforma de Edifícios-AC</v>
      </c>
      <c r="E2" s="45">
        <v>0.03</v>
      </c>
      <c r="F2" s="45">
        <v>0.04</v>
      </c>
      <c r="G2" s="45">
        <v>0.055</v>
      </c>
      <c r="Q2"/>
      <c r="R2"/>
    </row>
    <row r="3" spans="1:7" ht="12.75">
      <c r="A3" s="42" t="str">
        <f>A2</f>
        <v>Construção e Reforma de Edifícios</v>
      </c>
      <c r="B3" s="44" t="s">
        <v>30</v>
      </c>
      <c r="C3" s="42" t="str">
        <f t="shared" si="0"/>
        <v>Construção e Reforma de Edifícios-SG</v>
      </c>
      <c r="E3" s="45">
        <v>0.008</v>
      </c>
      <c r="F3" s="45">
        <v>0.008</v>
      </c>
      <c r="G3" s="45">
        <v>0.01</v>
      </c>
    </row>
    <row r="4" spans="1:18" ht="12.75">
      <c r="A4" s="42" t="str">
        <f>A3</f>
        <v>Construção e Reforma de Edifícios</v>
      </c>
      <c r="B4" s="44" t="s">
        <v>31</v>
      </c>
      <c r="C4" s="42" t="str">
        <f t="shared" si="0"/>
        <v>Construção e Reforma de Edifícios-R</v>
      </c>
      <c r="E4" s="45">
        <v>0.0097</v>
      </c>
      <c r="F4" s="45">
        <v>0.0127</v>
      </c>
      <c r="G4" s="45">
        <v>0.0127</v>
      </c>
      <c r="I4" s="205" t="s">
        <v>150</v>
      </c>
      <c r="J4" s="213"/>
      <c r="K4" s="205" t="s">
        <v>173</v>
      </c>
      <c r="L4" s="206"/>
      <c r="M4" s="206"/>
      <c r="N4" s="206"/>
      <c r="O4" s="206"/>
      <c r="P4" s="206"/>
      <c r="Q4" s="206"/>
      <c r="R4" s="213"/>
    </row>
    <row r="5" spans="1:19" ht="12.75" customHeight="1">
      <c r="A5" s="42" t="str">
        <f>A4</f>
        <v>Construção e Reforma de Edifícios</v>
      </c>
      <c r="B5" s="44" t="s">
        <v>32</v>
      </c>
      <c r="C5" s="42" t="str">
        <f t="shared" si="0"/>
        <v>Construção e Reforma de Edifícios-DF</v>
      </c>
      <c r="E5" s="45">
        <v>0.0059</v>
      </c>
      <c r="F5" s="45">
        <v>0.0123</v>
      </c>
      <c r="G5" s="45">
        <v>0.0139</v>
      </c>
      <c r="I5" s="303" t="str">
        <f>DADOS!A29</f>
        <v>1053.641-90/2018</v>
      </c>
      <c r="J5" s="304"/>
      <c r="K5" s="305" t="str">
        <f>DADOS!A32</f>
        <v>Prefeitura Municipal de Tenente Portela</v>
      </c>
      <c r="L5" s="306"/>
      <c r="M5" s="306"/>
      <c r="N5" s="306"/>
      <c r="O5" s="306"/>
      <c r="P5" s="306"/>
      <c r="Q5" s="306"/>
      <c r="R5" s="304"/>
      <c r="S5" s="47"/>
    </row>
    <row r="6" spans="1:18" ht="6" customHeight="1">
      <c r="A6" s="42" t="str">
        <f>A5</f>
        <v>Construção e Reforma de Edifícios</v>
      </c>
      <c r="B6" s="44" t="s">
        <v>164</v>
      </c>
      <c r="C6" s="42" t="str">
        <f t="shared" si="0"/>
        <v>Construção e Reforma de Edifícios-L</v>
      </c>
      <c r="E6" s="45">
        <v>0.0616</v>
      </c>
      <c r="F6" s="45">
        <v>0.07400000000000001</v>
      </c>
      <c r="G6" s="45">
        <v>0.08960000000000001</v>
      </c>
      <c r="I6" s="48"/>
      <c r="J6" s="48"/>
      <c r="K6" s="48"/>
      <c r="L6" s="48"/>
      <c r="M6" s="48"/>
      <c r="N6" s="48"/>
      <c r="O6" s="48"/>
      <c r="P6" s="48"/>
      <c r="Q6" s="48"/>
      <c r="R6" s="48"/>
    </row>
    <row r="7" spans="1:18" ht="13.6" customHeight="1">
      <c r="A7" s="42" t="str">
        <f>A6</f>
        <v>Construção e Reforma de Edifícios</v>
      </c>
      <c r="B7" s="49" t="s">
        <v>33</v>
      </c>
      <c r="C7" s="42" t="str">
        <f t="shared" si="0"/>
        <v>Construção e Reforma de Edifícios-BDI PAD</v>
      </c>
      <c r="E7" s="45">
        <v>0.2034</v>
      </c>
      <c r="F7" s="45">
        <v>0.2212</v>
      </c>
      <c r="G7" s="45">
        <v>0.25</v>
      </c>
      <c r="I7" s="205" t="s">
        <v>0</v>
      </c>
      <c r="J7" s="206"/>
      <c r="K7" s="206"/>
      <c r="L7" s="206"/>
      <c r="M7" s="206"/>
      <c r="N7" s="206"/>
      <c r="O7" s="206"/>
      <c r="P7" s="206"/>
      <c r="Q7" s="206"/>
      <c r="R7" s="213"/>
    </row>
    <row r="8" spans="1:18" ht="24.8" customHeight="1">
      <c r="A8" s="42" t="s">
        <v>34</v>
      </c>
      <c r="B8" s="44" t="s">
        <v>29</v>
      </c>
      <c r="C8" s="42" t="str">
        <f t="shared" si="0"/>
        <v>Construção de Praças Urbanas, Rodovias, Ferrovias e recapeamento e pavimentação de vias urbanas-AC</v>
      </c>
      <c r="E8" s="45">
        <v>0.038</v>
      </c>
      <c r="F8" s="45">
        <v>0.0401</v>
      </c>
      <c r="G8" s="45">
        <v>0.0467</v>
      </c>
      <c r="I8" s="307" t="str">
        <f>DADOS!P29</f>
        <v>Implantação de Pavimentação em vias públicas urbanas</v>
      </c>
      <c r="J8" s="307"/>
      <c r="K8" s="307"/>
      <c r="L8" s="307"/>
      <c r="M8" s="307"/>
      <c r="N8" s="307"/>
      <c r="O8" s="307"/>
      <c r="P8" s="307"/>
      <c r="Q8" s="307"/>
      <c r="R8" s="307"/>
    </row>
    <row r="9" spans="1:18" ht="6" customHeight="1">
      <c r="A9" s="42" t="s">
        <v>34</v>
      </c>
      <c r="B9" s="44" t="s">
        <v>30</v>
      </c>
      <c r="C9" s="42" t="str">
        <f t="shared" si="0"/>
        <v>Construção de Praças Urbanas, Rodovias, Ferrovias e recapeamento e pavimentação de vias urbanas-SG</v>
      </c>
      <c r="E9" s="45">
        <v>0.0032</v>
      </c>
      <c r="F9" s="45">
        <v>0.004</v>
      </c>
      <c r="G9" s="45">
        <v>0.0074</v>
      </c>
      <c r="I9" s="48"/>
      <c r="J9" s="48"/>
      <c r="K9" s="48"/>
      <c r="L9" s="48"/>
      <c r="M9" s="48"/>
      <c r="N9" s="48"/>
      <c r="O9" s="48"/>
      <c r="P9" s="48"/>
      <c r="Q9" s="48"/>
      <c r="R9" s="48"/>
    </row>
    <row r="10" spans="1:18" ht="13.6">
      <c r="A10" s="42" t="s">
        <v>34</v>
      </c>
      <c r="B10" s="44" t="s">
        <v>31</v>
      </c>
      <c r="C10" s="42" t="str">
        <f t="shared" si="0"/>
        <v>Construção de Praças Urbanas, Rodovias, Ferrovias e recapeamento e pavimentação de vias urbanas-R</v>
      </c>
      <c r="E10" s="45">
        <v>0.005</v>
      </c>
      <c r="F10" s="45">
        <v>0.005600000000000001</v>
      </c>
      <c r="G10" s="45">
        <v>0.0097</v>
      </c>
      <c r="I10" s="205" t="s">
        <v>35</v>
      </c>
      <c r="J10" s="206"/>
      <c r="K10" s="206"/>
      <c r="L10" s="206"/>
      <c r="M10" s="206"/>
      <c r="N10" s="206"/>
      <c r="O10" s="206"/>
      <c r="P10" s="206"/>
      <c r="Q10" s="205" t="s">
        <v>13</v>
      </c>
      <c r="R10" s="213"/>
    </row>
    <row r="11" spans="1:18" ht="13.6">
      <c r="A11" s="42" t="s">
        <v>34</v>
      </c>
      <c r="B11" s="44" t="s">
        <v>32</v>
      </c>
      <c r="C11" s="42" t="str">
        <f t="shared" si="0"/>
        <v>Construção de Praças Urbanas, Rodovias, Ferrovias e recapeamento e pavimentação de vias urbanas-DF</v>
      </c>
      <c r="E11" s="45">
        <v>0.0102</v>
      </c>
      <c r="F11" s="45">
        <v>0.0111</v>
      </c>
      <c r="G11" s="45">
        <v>0.0121</v>
      </c>
      <c r="I11" s="298" t="s">
        <v>34</v>
      </c>
      <c r="J11" s="299"/>
      <c r="K11" s="299"/>
      <c r="L11" s="299"/>
      <c r="M11" s="299"/>
      <c r="N11" s="299"/>
      <c r="O11" s="299"/>
      <c r="P11" s="300"/>
      <c r="Q11" s="301" t="str">
        <f>DADOS!$C$38</f>
        <v>Sim</v>
      </c>
      <c r="R11" s="302"/>
    </row>
    <row r="12" spans="1:7" ht="13.6">
      <c r="A12" s="42" t="s">
        <v>34</v>
      </c>
      <c r="B12" s="44" t="s">
        <v>164</v>
      </c>
      <c r="C12" s="42" t="str">
        <f t="shared" si="0"/>
        <v>Construção de Praças Urbanas, Rodovias, Ferrovias e recapeamento e pavimentação de vias urbanas-L</v>
      </c>
      <c r="E12" s="45">
        <v>0.0664</v>
      </c>
      <c r="F12" s="45">
        <v>0.073</v>
      </c>
      <c r="G12" s="45">
        <v>0.08689999999999999</v>
      </c>
    </row>
    <row r="13" spans="1:18" ht="15" customHeight="1">
      <c r="A13" s="42" t="s">
        <v>34</v>
      </c>
      <c r="B13" s="49" t="s">
        <v>33</v>
      </c>
      <c r="C13" s="42" t="str">
        <f t="shared" si="0"/>
        <v>Construção de Praças Urbanas, Rodovias, Ferrovias e recapeamento e pavimentação de vias urbanas-BDI PAD</v>
      </c>
      <c r="E13" s="45">
        <v>0.196</v>
      </c>
      <c r="F13" s="45">
        <v>0.2097</v>
      </c>
      <c r="G13" s="45">
        <v>0.24230000000000002</v>
      </c>
      <c r="I13" s="312" t="s">
        <v>36</v>
      </c>
      <c r="J13" s="312"/>
      <c r="K13" s="312"/>
      <c r="L13" s="312"/>
      <c r="M13" s="312"/>
      <c r="N13" s="312"/>
      <c r="O13" s="312"/>
      <c r="P13" s="312"/>
      <c r="Q13" s="309">
        <v>1</v>
      </c>
      <c r="R13" s="309"/>
    </row>
    <row r="14" spans="1:18" ht="15" customHeight="1">
      <c r="A14" s="42" t="s">
        <v>37</v>
      </c>
      <c r="B14" s="44" t="s">
        <v>29</v>
      </c>
      <c r="C14" s="42" t="str">
        <f t="shared" si="0"/>
        <v>Construção de Redes de Abastecimento de Água, Coleta de Esgoto-AC</v>
      </c>
      <c r="E14" s="45">
        <v>0.034300000000000004</v>
      </c>
      <c r="F14" s="45">
        <v>0.0493</v>
      </c>
      <c r="G14" s="45">
        <v>0.06709999999999999</v>
      </c>
      <c r="I14" s="310" t="s">
        <v>38</v>
      </c>
      <c r="J14" s="310"/>
      <c r="K14" s="310"/>
      <c r="L14" s="310"/>
      <c r="M14" s="310"/>
      <c r="N14" s="310"/>
      <c r="O14" s="310"/>
      <c r="P14" s="310"/>
      <c r="Q14" s="309">
        <v>0.02</v>
      </c>
      <c r="R14" s="309"/>
    </row>
    <row r="15" spans="1:7" ht="13.6">
      <c r="A15" s="42" t="str">
        <f>A14</f>
        <v>Construção de Redes de Abastecimento de Água, Coleta de Esgoto</v>
      </c>
      <c r="B15" s="44" t="s">
        <v>30</v>
      </c>
      <c r="C15" s="42" t="str">
        <f t="shared" si="0"/>
        <v>Construção de Redes de Abastecimento de Água, Coleta de Esgoto-SG</v>
      </c>
      <c r="E15" s="45">
        <v>0.0028000000000000004</v>
      </c>
      <c r="F15" s="45">
        <v>0.0049</v>
      </c>
      <c r="G15" s="45">
        <v>0.0075</v>
      </c>
    </row>
    <row r="16" spans="2:29" ht="12.75" customHeight="1">
      <c r="B16" s="44"/>
      <c r="E16" s="45"/>
      <c r="F16" s="45"/>
      <c r="G16" s="45"/>
      <c r="I16" s="311" t="s">
        <v>39</v>
      </c>
      <c r="J16" s="311"/>
      <c r="K16" s="311"/>
      <c r="L16" s="311"/>
      <c r="M16" s="311" t="s">
        <v>40</v>
      </c>
      <c r="N16" s="313" t="s">
        <v>41</v>
      </c>
      <c r="O16" s="313" t="s">
        <v>42</v>
      </c>
      <c r="P16" s="311" t="s">
        <v>43</v>
      </c>
      <c r="Q16" s="311" t="s">
        <v>44</v>
      </c>
      <c r="R16" s="292" t="s">
        <v>45</v>
      </c>
      <c r="T16" s="289" t="str">
        <f>IF(V27,"Para BDI fora do intervalo estatístico, deve ser apresentado Relatório Técnico Circunstanciado justificando a adoção do percentual de cada parcela do BDI.","")</f>
        <v/>
      </c>
      <c r="U16" s="289"/>
      <c r="V16" s="93"/>
      <c r="W16" s="93"/>
      <c r="X16" s="93"/>
      <c r="Y16" s="93"/>
      <c r="Z16" s="93"/>
      <c r="AA16" s="93"/>
      <c r="AB16" s="93"/>
      <c r="AC16" s="93"/>
    </row>
    <row r="17" spans="1:29" ht="15.8" customHeight="1">
      <c r="A17" s="42" t="str">
        <f>A15</f>
        <v>Construção de Redes de Abastecimento de Água, Coleta de Esgoto</v>
      </c>
      <c r="B17" s="44" t="s">
        <v>31</v>
      </c>
      <c r="C17" s="42" t="str">
        <f t="shared" si="0"/>
        <v>Construção de Redes de Abastecimento de Água, Coleta de Esgoto-R</v>
      </c>
      <c r="E17" s="45">
        <v>0.01</v>
      </c>
      <c r="F17" s="45">
        <v>0.0139</v>
      </c>
      <c r="G17" s="45">
        <v>0.0174</v>
      </c>
      <c r="I17" s="311"/>
      <c r="J17" s="311"/>
      <c r="K17" s="311"/>
      <c r="L17" s="311"/>
      <c r="M17" s="311"/>
      <c r="N17" s="313"/>
      <c r="O17" s="313"/>
      <c r="P17" s="311"/>
      <c r="Q17" s="311"/>
      <c r="R17" s="292"/>
      <c r="T17" s="289"/>
      <c r="U17" s="289"/>
      <c r="V17" s="93"/>
      <c r="W17" s="93"/>
      <c r="X17" s="93"/>
      <c r="Y17" s="93"/>
      <c r="Z17" s="93"/>
      <c r="AA17" s="93"/>
      <c r="AB17" s="93"/>
      <c r="AC17" s="93"/>
    </row>
    <row r="18" spans="1:29" ht="26.35" customHeight="1">
      <c r="A18" s="42" t="str">
        <f>A17</f>
        <v>Construção de Redes de Abastecimento de Água, Coleta de Esgoto</v>
      </c>
      <c r="B18" s="44" t="s">
        <v>32</v>
      </c>
      <c r="C18" s="42" t="str">
        <f t="shared" si="0"/>
        <v>Construção de Redes de Abastecimento de Água, Coleta de Esgoto-DF</v>
      </c>
      <c r="E18" s="45">
        <v>0.009399999999999999</v>
      </c>
      <c r="F18" s="45">
        <v>0.009899999999999999</v>
      </c>
      <c r="G18" s="45">
        <v>0.011699999999999999</v>
      </c>
      <c r="I18" s="277" t="str">
        <f>IF($I$11=$A$59,"Encargos Sociais incidentes sobre a mão de obra","Administração Central")</f>
        <v>Administração Central</v>
      </c>
      <c r="J18" s="277"/>
      <c r="K18" s="277"/>
      <c r="L18" s="277"/>
      <c r="M18" s="50" t="str">
        <f>IF($I$11=$A$59,"K1","AC")</f>
        <v>AC</v>
      </c>
      <c r="N18" s="51">
        <v>0.038</v>
      </c>
      <c r="O18" s="52" t="s">
        <v>46</v>
      </c>
      <c r="P18" s="53">
        <f>VLOOKUP(CONCATENATE(I$11,"-",M18),$C$2:$G$49,3,FALSE)</f>
        <v>0.038</v>
      </c>
      <c r="Q18" s="53">
        <f>VLOOKUP(CONCATENATE(I$11,"-",M18),$C$2:$G$49,4,FALSE)</f>
        <v>0.0401</v>
      </c>
      <c r="R18" s="53">
        <f>VLOOKUP(CONCATENATE(I$11,"-",M18),$C$2:$G$49,5,FALSE)</f>
        <v>0.0467</v>
      </c>
      <c r="T18" s="289"/>
      <c r="U18" s="289"/>
      <c r="V18" s="93"/>
      <c r="W18" s="93"/>
      <c r="X18" s="93"/>
      <c r="Y18" s="93"/>
      <c r="Z18" s="93"/>
      <c r="AA18" s="93"/>
      <c r="AB18" s="93"/>
      <c r="AC18" s="93"/>
    </row>
    <row r="19" spans="1:29" ht="26.35" customHeight="1">
      <c r="A19" s="42" t="str">
        <f>A18</f>
        <v>Construção de Redes de Abastecimento de Água, Coleta de Esgoto</v>
      </c>
      <c r="B19" s="44" t="s">
        <v>164</v>
      </c>
      <c r="C19" s="42" t="str">
        <f t="shared" si="0"/>
        <v>Construção de Redes de Abastecimento de Água, Coleta de Esgoto-L</v>
      </c>
      <c r="E19" s="45">
        <v>0.0674</v>
      </c>
      <c r="F19" s="45">
        <v>0.08039999999999999</v>
      </c>
      <c r="G19" s="45">
        <v>0.094</v>
      </c>
      <c r="I19" s="277" t="str">
        <f>IF($I$11=$A$59,"Administração Central da empresa ou consultoria - overhead","Seguro e Garantia")</f>
        <v>Seguro e Garantia</v>
      </c>
      <c r="J19" s="277"/>
      <c r="K19" s="277"/>
      <c r="L19" s="277"/>
      <c r="M19" s="50" t="str">
        <f>IF($I$11=$A$59,"K2","SG")</f>
        <v>SG</v>
      </c>
      <c r="N19" s="51">
        <v>0.0068</v>
      </c>
      <c r="O19" s="52" t="s">
        <v>46</v>
      </c>
      <c r="P19" s="53">
        <f>VLOOKUP(CONCATENATE(I$11,"-",M19),$C$2:$G$49,3,FALSE)</f>
        <v>0.0032</v>
      </c>
      <c r="Q19" s="53">
        <f>VLOOKUP(CONCATENATE(I$11,"-",M19),$C$2:$G$49,4,FALSE)</f>
        <v>0.004</v>
      </c>
      <c r="R19" s="53">
        <f>VLOOKUP(CONCATENATE(I$11,"-",M19),$C$2:$G$49,5,FALSE)</f>
        <v>0.0074</v>
      </c>
      <c r="T19" s="289"/>
      <c r="U19" s="289"/>
      <c r="V19" s="93"/>
      <c r="W19" s="93"/>
      <c r="X19" s="93"/>
      <c r="Y19" s="93"/>
      <c r="Z19" s="93"/>
      <c r="AA19" s="93"/>
      <c r="AB19" s="93"/>
      <c r="AC19" s="93"/>
    </row>
    <row r="20" spans="1:29" ht="26.35" customHeight="1">
      <c r="A20" s="42" t="str">
        <f>A19</f>
        <v>Construção de Redes de Abastecimento de Água, Coleta de Esgoto</v>
      </c>
      <c r="B20" s="49" t="s">
        <v>33</v>
      </c>
      <c r="C20" s="42" t="str">
        <f t="shared" si="0"/>
        <v>Construção de Redes de Abastecimento de Água, Coleta de Esgoto-BDI PAD</v>
      </c>
      <c r="E20" s="45">
        <v>0.2076</v>
      </c>
      <c r="F20" s="45">
        <v>0.2418</v>
      </c>
      <c r="G20" s="45">
        <v>0.2644</v>
      </c>
      <c r="I20" s="277" t="str">
        <f>IF($I$11=$A$59,"","Risco")</f>
        <v>Risco</v>
      </c>
      <c r="J20" s="277"/>
      <c r="K20" s="277"/>
      <c r="L20" s="277"/>
      <c r="M20" s="50" t="str">
        <f>IF($I$11=$A$59,"","R")</f>
        <v>R</v>
      </c>
      <c r="N20" s="51">
        <v>0.0079</v>
      </c>
      <c r="O20" s="52" t="s">
        <v>46</v>
      </c>
      <c r="P20" s="53">
        <f>VLOOKUP(CONCATENATE(I$11,"-",M20),$C$2:$G$49,3,FALSE)</f>
        <v>0.005</v>
      </c>
      <c r="Q20" s="53">
        <f>VLOOKUP(CONCATENATE(I$11,"-",M20),$C$2:$G$49,4,FALSE)</f>
        <v>0.005600000000000001</v>
      </c>
      <c r="R20" s="53">
        <f>VLOOKUP(CONCATENATE(I$11,"-",M20),$C$2:$G$49,5,FALSE)</f>
        <v>0.0097</v>
      </c>
      <c r="T20" s="289"/>
      <c r="U20" s="289"/>
      <c r="V20" s="93"/>
      <c r="W20" s="93"/>
      <c r="X20" s="93"/>
      <c r="Y20" s="93"/>
      <c r="Z20" s="93"/>
      <c r="AA20" s="93"/>
      <c r="AB20" s="93"/>
      <c r="AC20" s="93"/>
    </row>
    <row r="21" spans="1:21" ht="26.35" customHeight="1">
      <c r="A21" s="42" t="s">
        <v>47</v>
      </c>
      <c r="B21" s="44" t="s">
        <v>29</v>
      </c>
      <c r="C21" s="42" t="str">
        <f t="shared" si="0"/>
        <v>Construção e Manutenção de Estações e Redes de Distribuição de Energia Elétrica-AC</v>
      </c>
      <c r="E21" s="45">
        <v>0.0529</v>
      </c>
      <c r="F21" s="45">
        <v>0.0592</v>
      </c>
      <c r="G21" s="45">
        <v>0.0793</v>
      </c>
      <c r="I21" s="277" t="str">
        <f>IF($I$11=$A$59,"","Despesas Financeiras")</f>
        <v>Despesas Financeiras</v>
      </c>
      <c r="J21" s="277"/>
      <c r="K21" s="277"/>
      <c r="L21" s="277"/>
      <c r="M21" s="50" t="str">
        <f>IF($I$11=$A$59,"","DF")</f>
        <v>DF</v>
      </c>
      <c r="N21" s="51">
        <v>0.011</v>
      </c>
      <c r="O21" s="52" t="s">
        <v>46</v>
      </c>
      <c r="P21" s="53">
        <f>VLOOKUP(CONCATENATE(I$11,"-",M21),$C$2:$G$49,3,FALSE)</f>
        <v>0.0102</v>
      </c>
      <c r="Q21" s="53">
        <f>VLOOKUP(CONCATENATE(I$11,"-",M21),$C$2:$G$49,4,FALSE)</f>
        <v>0.0111</v>
      </c>
      <c r="R21" s="53">
        <f>VLOOKUP(CONCATENATE(I$11,"-",M21),$C$2:$G$49,5,FALSE)</f>
        <v>0.0121</v>
      </c>
      <c r="T21" s="289"/>
      <c r="U21" s="289"/>
    </row>
    <row r="22" spans="1:21" ht="26.35" customHeight="1">
      <c r="A22" s="42" t="str">
        <f>A21</f>
        <v>Construção e Manutenção de Estações e Redes de Distribuição de Energia Elétrica</v>
      </c>
      <c r="B22" s="44" t="s">
        <v>30</v>
      </c>
      <c r="C22" s="42" t="str">
        <f t="shared" si="0"/>
        <v>Construção e Manutenção de Estações e Redes de Distribuição de Energia Elétrica-SG</v>
      </c>
      <c r="E22" s="45">
        <v>0.0025</v>
      </c>
      <c r="F22" s="45">
        <v>0.0051</v>
      </c>
      <c r="G22" s="45">
        <v>0.005600000000000001</v>
      </c>
      <c r="I22" s="277" t="str">
        <f>IF($I$11=$A$59,"Margem bruta da empresa de consultoria","Lucro")</f>
        <v>Lucro</v>
      </c>
      <c r="J22" s="277"/>
      <c r="K22" s="277"/>
      <c r="L22" s="277"/>
      <c r="M22" s="50" t="str">
        <f>IF($I$11=$A$59,"K3","L")</f>
        <v>L</v>
      </c>
      <c r="N22" s="51">
        <v>0.067</v>
      </c>
      <c r="O22" s="52" t="s">
        <v>46</v>
      </c>
      <c r="P22" s="53">
        <f>VLOOKUP(CONCATENATE(I$11,"-",M22),$C$2:$G$49,3,FALSE)</f>
        <v>0.0664</v>
      </c>
      <c r="Q22" s="53">
        <f>VLOOKUP(CONCATENATE(I$11,"-",M22),$C$2:$G$49,4,FALSE)</f>
        <v>0.073</v>
      </c>
      <c r="R22" s="53">
        <f>VLOOKUP(CONCATENATE(I$11,"-",M22),$C$2:$G$49,5,FALSE)</f>
        <v>0.08689999999999999</v>
      </c>
      <c r="T22" s="289"/>
      <c r="U22" s="289"/>
    </row>
    <row r="23" spans="1:21" ht="26.35" customHeight="1">
      <c r="A23" s="42" t="str">
        <f>A22</f>
        <v>Construção e Manutenção de Estações e Redes de Distribuição de Energia Elétrica</v>
      </c>
      <c r="B23" s="44" t="s">
        <v>31</v>
      </c>
      <c r="C23" s="42" t="str">
        <f t="shared" si="0"/>
        <v>Construção e Manutenção de Estações e Redes de Distribuição de Energia Elétrica-R</v>
      </c>
      <c r="E23" s="45">
        <v>0.01</v>
      </c>
      <c r="F23" s="45">
        <v>0.0148</v>
      </c>
      <c r="G23" s="45">
        <v>0.0197</v>
      </c>
      <c r="I23" s="291" t="s">
        <v>48</v>
      </c>
      <c r="J23" s="291"/>
      <c r="K23" s="291"/>
      <c r="L23" s="291"/>
      <c r="M23" s="50" t="s">
        <v>49</v>
      </c>
      <c r="N23" s="51">
        <v>0.0365</v>
      </c>
      <c r="O23" s="52" t="s">
        <v>46</v>
      </c>
      <c r="P23" s="53">
        <v>0.0365</v>
      </c>
      <c r="Q23" s="53">
        <v>0.0365</v>
      </c>
      <c r="R23" s="53">
        <v>0.0365</v>
      </c>
      <c r="T23" s="289"/>
      <c r="U23" s="289"/>
    </row>
    <row r="24" spans="1:21" ht="26.35" customHeight="1">
      <c r="A24" s="42" t="str">
        <f>A23</f>
        <v>Construção e Manutenção de Estações e Redes de Distribuição de Energia Elétrica</v>
      </c>
      <c r="B24" s="44" t="s">
        <v>32</v>
      </c>
      <c r="C24" s="42" t="str">
        <f t="shared" si="0"/>
        <v>Construção e Manutenção de Estações e Redes de Distribuição de Energia Elétrica-DF</v>
      </c>
      <c r="E24" s="45">
        <v>0.0101</v>
      </c>
      <c r="F24" s="45">
        <v>0.010700000000000001</v>
      </c>
      <c r="G24" s="45">
        <v>0.0111</v>
      </c>
      <c r="I24" s="277" t="s">
        <v>50</v>
      </c>
      <c r="J24" s="277"/>
      <c r="K24" s="277"/>
      <c r="L24" s="277"/>
      <c r="M24" s="50" t="s">
        <v>51</v>
      </c>
      <c r="N24" s="53">
        <f>IF($I$11&lt;&gt;$A$58,Q14*Q13,0)</f>
        <v>0.02</v>
      </c>
      <c r="O24" s="52" t="s">
        <v>46</v>
      </c>
      <c r="P24" s="53">
        <v>0</v>
      </c>
      <c r="Q24" s="53">
        <v>0.025</v>
      </c>
      <c r="R24" s="53">
        <v>0.05</v>
      </c>
      <c r="T24" s="289"/>
      <c r="U24" s="289"/>
    </row>
    <row r="25" spans="1:18" ht="26.35" customHeight="1">
      <c r="A25" s="42" t="str">
        <f>A24</f>
        <v>Construção e Manutenção de Estações e Redes de Distribuição de Energia Elétrica</v>
      </c>
      <c r="B25" s="44" t="s">
        <v>164</v>
      </c>
      <c r="C25" s="42" t="str">
        <f t="shared" si="0"/>
        <v>Construção e Manutenção de Estações e Redes de Distribuição de Energia Elétrica-L</v>
      </c>
      <c r="E25" s="45">
        <v>0.08</v>
      </c>
      <c r="F25" s="45">
        <v>0.08310000000000001</v>
      </c>
      <c r="G25" s="45">
        <v>0.0951</v>
      </c>
      <c r="I25" s="277" t="s">
        <v>116</v>
      </c>
      <c r="J25" s="277"/>
      <c r="K25" s="277"/>
      <c r="L25" s="277"/>
      <c r="M25" s="50" t="s">
        <v>52</v>
      </c>
      <c r="N25" s="53">
        <f>IF(AND($I$11&lt;&gt;$A$58,Q11="Sim"),4.5%,0%)</f>
        <v>0.045</v>
      </c>
      <c r="O25" s="52" t="str">
        <f>IF(AND(N25&gt;=P25,N25&lt;=R25),"OK","Não OK")</f>
        <v>OK</v>
      </c>
      <c r="P25" s="54">
        <v>0</v>
      </c>
      <c r="Q25" s="54">
        <v>0.045</v>
      </c>
      <c r="R25" s="54">
        <v>0.045</v>
      </c>
    </row>
    <row r="26" spans="1:31" ht="30.75" customHeight="1">
      <c r="A26" s="42" t="str">
        <f>A25</f>
        <v>Construção e Manutenção de Estações e Redes de Distribuição de Energia Elétrica</v>
      </c>
      <c r="B26" s="49" t="s">
        <v>33</v>
      </c>
      <c r="C26" s="42" t="str">
        <f t="shared" si="0"/>
        <v>Construção e Manutenção de Estações e Redes de Distribuição de Energia Elétrica-BDI PAD</v>
      </c>
      <c r="E26" s="45">
        <v>0.24</v>
      </c>
      <c r="F26" s="45">
        <v>0.2584</v>
      </c>
      <c r="G26" s="45">
        <v>0.2786</v>
      </c>
      <c r="I26" s="277" t="s">
        <v>53</v>
      </c>
      <c r="J26" s="277"/>
      <c r="K26" s="277"/>
      <c r="L26" s="277"/>
      <c r="M26" s="55" t="s">
        <v>33</v>
      </c>
      <c r="N26" s="53">
        <f>IF($I$11=$A$58,0,ROUND((((1+N18+N19+N20)*(1+N21)*(1+N22)/(1-(N23+N24)))-1),4))</f>
        <v>0.2036</v>
      </c>
      <c r="O26" s="91" t="str">
        <f>IF(OR($I$11=$A$59,$I$11=$A$58,AND(N26&gt;=P26,N26&lt;=R26)),"OK","FORA DO INTERVALO")</f>
        <v>OK</v>
      </c>
      <c r="P26" s="53">
        <f>IF($I$11=$A$58,0,VLOOKUP(CONCATENATE($I$11,"-",$M26),$C$2:$G$49,3,FALSE))</f>
        <v>0.196</v>
      </c>
      <c r="Q26" s="53">
        <f>IF($I$11=$A$58,0,VLOOKUP(CONCATENATE($I$11,"-",$M26),$C$2:$G$49,4,FALSE))</f>
        <v>0.2097</v>
      </c>
      <c r="R26" s="53">
        <f>IF($I$11=$A$58,0,VLOOKUP(CONCATENATE($I$11,"-",$M26),$C$2:$G$49,5,FALSE))</f>
        <v>0.24230000000000002</v>
      </c>
      <c r="T26" s="92"/>
      <c r="V26" s="93"/>
      <c r="W26" s="93"/>
      <c r="X26" s="93"/>
      <c r="Y26" s="93"/>
      <c r="Z26" s="93"/>
      <c r="AA26" s="93"/>
      <c r="AB26" s="93"/>
      <c r="AC26" s="93"/>
      <c r="AD26" s="93"/>
      <c r="AE26" s="93"/>
    </row>
    <row r="27" spans="1:23" ht="30.1" customHeight="1">
      <c r="A27" s="42" t="s">
        <v>54</v>
      </c>
      <c r="B27" s="44" t="s">
        <v>29</v>
      </c>
      <c r="C27" s="42" t="str">
        <f t="shared" si="0"/>
        <v>Obras Portuárias, Marítimas e Fluviais-AC</v>
      </c>
      <c r="E27" s="45">
        <v>0.04</v>
      </c>
      <c r="F27" s="45">
        <v>0.0552</v>
      </c>
      <c r="G27" s="45">
        <v>0.0785</v>
      </c>
      <c r="I27" s="278" t="s">
        <v>55</v>
      </c>
      <c r="J27" s="278"/>
      <c r="K27" s="278"/>
      <c r="L27" s="278"/>
      <c r="M27" s="56" t="s">
        <v>56</v>
      </c>
      <c r="N27" s="57">
        <f>IF($I$11=$A$58,0,ROUND((((1+N18+N19+N20)*(1+N21)*(1+N22)/(1-(N23+N24+N25)))-1),4))</f>
        <v>0.2639</v>
      </c>
      <c r="O27" s="95" t="str">
        <f>IF(Q11&lt;&gt;"Sim","",O26)</f>
        <v>OK</v>
      </c>
      <c r="P27" s="279"/>
      <c r="Q27" s="279"/>
      <c r="R27" s="279"/>
      <c r="T27" s="92"/>
      <c r="V27" s="96" t="b">
        <f>AND(COUNTA(N18:N23)=6,O26&lt;&gt;"ok",NOT(V29))</f>
        <v>0</v>
      </c>
      <c r="W27" s="42" t="s">
        <v>118</v>
      </c>
    </row>
    <row r="28" spans="1:22" ht="7.5" customHeight="1">
      <c r="A28" s="42" t="str">
        <f>A27</f>
        <v>Obras Portuárias, Marítimas e Fluviais</v>
      </c>
      <c r="B28" s="44" t="s">
        <v>30</v>
      </c>
      <c r="C28" s="42" t="str">
        <f t="shared" si="0"/>
        <v>Obras Portuárias, Marítimas e Fluviais-SG</v>
      </c>
      <c r="E28" s="45">
        <v>0.008100000000000001</v>
      </c>
      <c r="F28" s="45">
        <v>0.012199999999999999</v>
      </c>
      <c r="G28" s="45">
        <v>0.0199</v>
      </c>
      <c r="V28" s="96"/>
    </row>
    <row r="29" spans="1:23" ht="21.75" customHeight="1">
      <c r="A29" s="42" t="str">
        <f>A28</f>
        <v>Obras Portuárias, Marítimas e Fluviais</v>
      </c>
      <c r="B29" s="44" t="s">
        <v>31</v>
      </c>
      <c r="C29" s="42" t="str">
        <f t="shared" si="0"/>
        <v>Obras Portuárias, Marítimas e Fluviais-R</v>
      </c>
      <c r="E29" s="45">
        <v>0.0146</v>
      </c>
      <c r="F29" s="45">
        <v>0.0232</v>
      </c>
      <c r="G29" s="45">
        <v>0.0316</v>
      </c>
      <c r="I29" s="94" t="str">
        <f>IF(V29,"X","")</f>
        <v/>
      </c>
      <c r="J29" s="276" t="s">
        <v>117</v>
      </c>
      <c r="K29" s="276"/>
      <c r="L29" s="276"/>
      <c r="M29" s="276"/>
      <c r="N29" s="276"/>
      <c r="O29" s="276"/>
      <c r="P29" s="276"/>
      <c r="Q29" s="276"/>
      <c r="R29" s="276"/>
      <c r="V29" s="96" t="b">
        <v>0</v>
      </c>
      <c r="W29" s="42" t="s">
        <v>119</v>
      </c>
    </row>
    <row r="30" spans="2:22" ht="7.5" customHeight="1">
      <c r="B30" s="44"/>
      <c r="E30" s="45"/>
      <c r="F30" s="45"/>
      <c r="G30" s="45"/>
      <c r="V30" s="96"/>
    </row>
    <row r="31" spans="2:18" ht="18.75" customHeight="1">
      <c r="B31" s="44"/>
      <c r="E31" s="45"/>
      <c r="F31" s="45"/>
      <c r="G31" s="45"/>
      <c r="I31" s="281" t="s">
        <v>61</v>
      </c>
      <c r="J31" s="281"/>
      <c r="K31" s="281"/>
      <c r="L31" s="281"/>
      <c r="M31" s="281"/>
      <c r="N31" s="281"/>
      <c r="O31" s="281"/>
      <c r="P31" s="281"/>
      <c r="Q31" s="281"/>
      <c r="R31" s="281"/>
    </row>
    <row r="32" spans="1:18" ht="30.1" customHeight="1">
      <c r="A32" s="42" t="str">
        <f>A29</f>
        <v>Obras Portuárias, Marítimas e Fluviais</v>
      </c>
      <c r="B32" s="44" t="s">
        <v>32</v>
      </c>
      <c r="C32" s="42" t="str">
        <f t="shared" si="0"/>
        <v>Obras Portuárias, Marítimas e Fluviais-DF</v>
      </c>
      <c r="E32" s="45">
        <v>0.009399999999999999</v>
      </c>
      <c r="F32" s="45">
        <v>0.0102</v>
      </c>
      <c r="G32" s="45">
        <v>0.013300000000000001</v>
      </c>
      <c r="I32" s="85"/>
      <c r="J32" s="85"/>
      <c r="K32" s="85"/>
      <c r="L32" s="297" t="str">
        <f>IF(Q11="Sim","BDI.DES =","BDI.PAD =")</f>
        <v>BDI.DES =</v>
      </c>
      <c r="M32" s="295" t="str">
        <f>IF($I$11=$A$59,"(1+K1+K2)*(1+K3)","(1+AC + S + R + G)*(1 + DF)*(1+L)")</f>
        <v>(1+AC + S + R + G)*(1 + DF)*(1+L)</v>
      </c>
      <c r="N32" s="295"/>
      <c r="O32" s="295"/>
      <c r="P32" s="293" t="s">
        <v>108</v>
      </c>
      <c r="Q32" s="85"/>
      <c r="R32" s="85"/>
    </row>
    <row r="33" spans="1:18" ht="27" customHeight="1">
      <c r="A33" s="42" t="str">
        <f>A32</f>
        <v>Obras Portuárias, Marítimas e Fluviais</v>
      </c>
      <c r="B33" s="44" t="s">
        <v>164</v>
      </c>
      <c r="C33" s="42" t="str">
        <f t="shared" si="0"/>
        <v>Obras Portuárias, Marítimas e Fluviais-L</v>
      </c>
      <c r="E33" s="45">
        <v>0.07139999999999999</v>
      </c>
      <c r="F33" s="45">
        <v>0.084</v>
      </c>
      <c r="G33" s="45">
        <v>0.1043</v>
      </c>
      <c r="I33" s="85"/>
      <c r="J33" s="85"/>
      <c r="K33" s="85"/>
      <c r="L33" s="297"/>
      <c r="M33" s="296" t="str">
        <f>IF(Q11="Sim","(1-CP-ISS-CRPB)","(1-CP-ISS)")</f>
        <v>(1-CP-ISS-CRPB)</v>
      </c>
      <c r="N33" s="296"/>
      <c r="O33" s="296"/>
      <c r="P33" s="294"/>
      <c r="Q33" s="85"/>
      <c r="R33" s="85"/>
    </row>
    <row r="34" spans="1:18" ht="7.5" customHeight="1">
      <c r="A34" s="42" t="str">
        <f>A33</f>
        <v>Obras Portuárias, Marítimas e Fluviais</v>
      </c>
      <c r="B34" s="49" t="s">
        <v>33</v>
      </c>
      <c r="C34" s="42" t="str">
        <f t="shared" si="0"/>
        <v>Obras Portuárias, Marítimas e Fluviais-BDI PAD</v>
      </c>
      <c r="E34" s="45">
        <v>0.228</v>
      </c>
      <c r="F34" s="45">
        <v>0.2748</v>
      </c>
      <c r="G34" s="45">
        <v>0.3095</v>
      </c>
      <c r="I34" s="61"/>
      <c r="J34" s="61"/>
      <c r="K34" s="61"/>
      <c r="L34" s="61"/>
      <c r="M34" s="61"/>
      <c r="N34" s="61"/>
      <c r="O34" s="61"/>
      <c r="P34" s="61"/>
      <c r="Q34" s="61"/>
      <c r="R34" s="61"/>
    </row>
    <row r="35" spans="2:18" ht="45" customHeight="1">
      <c r="B35" s="49"/>
      <c r="E35" s="45"/>
      <c r="F35" s="45"/>
      <c r="G35" s="45"/>
      <c r="I35" s="282"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2%.</v>
      </c>
      <c r="J35" s="282"/>
      <c r="K35" s="282"/>
      <c r="L35" s="282"/>
      <c r="M35" s="282"/>
      <c r="N35" s="282"/>
      <c r="O35" s="282"/>
      <c r="P35" s="282"/>
      <c r="Q35" s="282"/>
      <c r="R35" s="282"/>
    </row>
    <row r="36" spans="2:7" ht="11.25" customHeight="1">
      <c r="B36" s="49"/>
      <c r="E36" s="45"/>
      <c r="F36" s="45"/>
      <c r="G36" s="45"/>
    </row>
    <row r="37" spans="2:18" ht="52.5" customHeight="1">
      <c r="B37" s="49"/>
      <c r="E37" s="45"/>
      <c r="F37" s="45"/>
      <c r="G37" s="45"/>
      <c r="I37" s="282"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282"/>
      <c r="K37" s="282"/>
      <c r="L37" s="282"/>
      <c r="M37" s="282"/>
      <c r="N37" s="282"/>
      <c r="O37" s="282"/>
      <c r="P37" s="282"/>
      <c r="Q37" s="282"/>
      <c r="R37" s="282"/>
    </row>
    <row r="38" spans="1:7" ht="18" customHeight="1">
      <c r="A38" s="42" t="s">
        <v>137</v>
      </c>
      <c r="B38" s="44" t="s">
        <v>29</v>
      </c>
      <c r="C38" s="42" t="str">
        <f t="shared" si="0"/>
        <v>Fornecimento de Materiais e Equipamentos (aquisição indireta - em conjunto com licitação de obras)-AC</v>
      </c>
      <c r="E38" s="45">
        <v>0.015</v>
      </c>
      <c r="F38" s="45">
        <v>0.0345</v>
      </c>
      <c r="G38" s="45">
        <v>0.0449</v>
      </c>
    </row>
    <row r="39" spans="1:9" ht="13.6">
      <c r="A39" s="42" t="str">
        <f>A38</f>
        <v>Fornecimento de Materiais e Equipamentos (aquisição indireta - em conjunto com licitação de obras)</v>
      </c>
      <c r="B39" s="44" t="s">
        <v>30</v>
      </c>
      <c r="C39" s="42" t="str">
        <f t="shared" si="0"/>
        <v>Fornecimento de Materiais e Equipamentos (aquisição indireta - em conjunto com licitação de obras)-SG</v>
      </c>
      <c r="E39" s="45">
        <v>0.003</v>
      </c>
      <c r="F39" s="45">
        <v>0.0048</v>
      </c>
      <c r="G39" s="45">
        <v>0.008199999999999999</v>
      </c>
      <c r="I39" s="42" t="s">
        <v>21</v>
      </c>
    </row>
    <row r="40" spans="1:18" ht="42.8" customHeight="1">
      <c r="A40" s="42" t="str">
        <f>A39</f>
        <v>Fornecimento de Materiais e Equipamentos (aquisição indireta - em conjunto com licitação de obras)</v>
      </c>
      <c r="B40" s="44" t="s">
        <v>31</v>
      </c>
      <c r="C40" s="42" t="str">
        <f t="shared" si="0"/>
        <v>Fornecimento de Materiais e Equipamentos (aquisição indireta - em conjunto com licitação de obras)-R</v>
      </c>
      <c r="E40" s="45">
        <v>0.005600000000000001</v>
      </c>
      <c r="F40" s="45">
        <v>0.0085</v>
      </c>
      <c r="G40" s="45">
        <v>0.0089</v>
      </c>
      <c r="I40" s="284"/>
      <c r="J40" s="285"/>
      <c r="K40" s="285"/>
      <c r="L40" s="285"/>
      <c r="M40" s="285"/>
      <c r="N40" s="285"/>
      <c r="O40" s="285"/>
      <c r="P40" s="285"/>
      <c r="Q40" s="285"/>
      <c r="R40" s="286"/>
    </row>
    <row r="41" spans="1:7" ht="16.5" customHeight="1">
      <c r="A41" s="42" t="str">
        <f>A40</f>
        <v>Fornecimento de Materiais e Equipamentos (aquisição indireta - em conjunto com licitação de obras)</v>
      </c>
      <c r="B41" s="44" t="s">
        <v>32</v>
      </c>
      <c r="C41" s="42" t="str">
        <f t="shared" si="0"/>
        <v>Fornecimento de Materiais e Equipamentos (aquisição indireta - em conjunto com licitação de obras)-DF</v>
      </c>
      <c r="E41" s="45">
        <v>0.0085</v>
      </c>
      <c r="F41" s="45">
        <v>0.0085</v>
      </c>
      <c r="G41" s="45">
        <v>0.0111</v>
      </c>
    </row>
    <row r="42" spans="1:18" ht="13.6">
      <c r="A42" s="42" t="str">
        <f>A41</f>
        <v>Fornecimento de Materiais e Equipamentos (aquisição indireta - em conjunto com licitação de obras)</v>
      </c>
      <c r="B42" s="44" t="s">
        <v>164</v>
      </c>
      <c r="C42" s="42" t="str">
        <f t="shared" si="0"/>
        <v>Fornecimento de Materiais e Equipamentos (aquisição indireta - em conjunto com licitação de obras)-L</v>
      </c>
      <c r="E42" s="45">
        <v>0.035</v>
      </c>
      <c r="F42" s="45">
        <v>0.051100000000000007</v>
      </c>
      <c r="G42" s="45">
        <v>0.0622</v>
      </c>
      <c r="I42" s="290" t="str">
        <f>PO!K51</f>
        <v>Tenente Portela</v>
      </c>
      <c r="J42" s="290"/>
      <c r="K42" s="290"/>
      <c r="L42" s="290"/>
      <c r="O42" s="283">
        <f ca="1">PO!K54</f>
        <v>43563</v>
      </c>
      <c r="P42" s="283"/>
      <c r="Q42" s="283"/>
      <c r="R42" s="283"/>
    </row>
    <row r="43" spans="1:18" ht="15" customHeight="1">
      <c r="A43" s="42" t="str">
        <f>A42</f>
        <v>Fornecimento de Materiais e Equipamentos (aquisição indireta - em conjunto com licitação de obras)</v>
      </c>
      <c r="B43" s="49" t="s">
        <v>33</v>
      </c>
      <c r="C43" s="42" t="str">
        <f t="shared" si="0"/>
        <v>Fornecimento de Materiais e Equipamentos (aquisição indireta - em conjunto com licitação de obras)-BDI PAD</v>
      </c>
      <c r="E43" s="45">
        <v>0.111</v>
      </c>
      <c r="F43" s="45">
        <v>0.1402</v>
      </c>
      <c r="G43" s="45">
        <v>0.168</v>
      </c>
      <c r="I43" s="308" t="s">
        <v>120</v>
      </c>
      <c r="J43" s="308"/>
      <c r="K43" s="308"/>
      <c r="L43" s="308"/>
      <c r="N43" s="58"/>
      <c r="O43" s="122" t="s">
        <v>121</v>
      </c>
      <c r="P43" s="123"/>
      <c r="Q43" s="123"/>
      <c r="R43" s="123"/>
    </row>
    <row r="44" spans="1:7" ht="13.6">
      <c r="A44" s="42" t="s">
        <v>59</v>
      </c>
      <c r="B44" s="44" t="s">
        <v>104</v>
      </c>
      <c r="C44" s="42" t="str">
        <f t="shared" si="0"/>
        <v>Estudos e Projetos, Planos e Gerenciamento e outros correlatos-K1</v>
      </c>
      <c r="E44" s="45" t="s">
        <v>46</v>
      </c>
      <c r="F44" s="45" t="s">
        <v>46</v>
      </c>
      <c r="G44" s="45" t="s">
        <v>46</v>
      </c>
    </row>
    <row r="45" spans="1:18" ht="30.1" customHeight="1">
      <c r="A45" s="42" t="str">
        <f>A44</f>
        <v>Estudos e Projetos, Planos e Gerenciamento e outros correlatos</v>
      </c>
      <c r="B45" s="44" t="s">
        <v>105</v>
      </c>
      <c r="C45" s="42" t="str">
        <f t="shared" si="0"/>
        <v>Estudos e Projetos, Planos e Gerenciamento e outros correlatos-K2</v>
      </c>
      <c r="E45" s="45" t="s">
        <v>46</v>
      </c>
      <c r="F45" s="45">
        <v>0.2</v>
      </c>
      <c r="G45" s="45" t="s">
        <v>46</v>
      </c>
      <c r="I45" s="280"/>
      <c r="J45" s="280"/>
      <c r="K45" s="280"/>
      <c r="L45" s="280"/>
      <c r="M45" s="59"/>
      <c r="N45" s="59"/>
      <c r="O45" s="280"/>
      <c r="P45" s="280"/>
      <c r="Q45" s="280"/>
      <c r="R45" s="280"/>
    </row>
    <row r="46" spans="1:18" ht="13.6">
      <c r="A46" s="42" t="str">
        <f>A45</f>
        <v>Estudos e Projetos, Planos e Gerenciamento e outros correlatos</v>
      </c>
      <c r="B46" s="44" t="s">
        <v>106</v>
      </c>
      <c r="C46" s="42" t="str">
        <f t="shared" si="0"/>
        <v>Estudos e Projetos, Planos e Gerenciamento e outros correlatos-</v>
      </c>
      <c r="E46" s="45" t="s">
        <v>46</v>
      </c>
      <c r="F46" s="45" t="s">
        <v>46</v>
      </c>
      <c r="G46" s="45" t="s">
        <v>46</v>
      </c>
      <c r="I46" s="287" t="s">
        <v>57</v>
      </c>
      <c r="J46" s="287"/>
      <c r="K46" s="287"/>
      <c r="L46" s="287"/>
      <c r="O46" s="287" t="s">
        <v>58</v>
      </c>
      <c r="P46" s="287"/>
      <c r="Q46" s="287"/>
      <c r="R46" s="287"/>
    </row>
    <row r="47" spans="1:18" ht="14.3">
      <c r="A47" s="42" t="str">
        <f>A46</f>
        <v>Estudos e Projetos, Planos e Gerenciamento e outros correlatos</v>
      </c>
      <c r="B47" s="44" t="s">
        <v>106</v>
      </c>
      <c r="C47" s="42" t="str">
        <f t="shared" si="0"/>
        <v>Estudos e Projetos, Planos e Gerenciamento e outros correlatos-</v>
      </c>
      <c r="E47" s="45" t="s">
        <v>46</v>
      </c>
      <c r="F47" s="45" t="s">
        <v>46</v>
      </c>
      <c r="G47" s="45" t="s">
        <v>46</v>
      </c>
      <c r="I47" s="21" t="s">
        <v>140</v>
      </c>
      <c r="J47" s="275">
        <f>DADOS!B54</f>
        <v>0</v>
      </c>
      <c r="K47" s="275"/>
      <c r="L47" s="275"/>
      <c r="M47" s="59"/>
      <c r="N47" s="59"/>
      <c r="O47" s="21" t="s">
        <v>140</v>
      </c>
      <c r="P47" s="288" t="s">
        <v>238</v>
      </c>
      <c r="Q47" s="288"/>
      <c r="R47" s="288"/>
    </row>
    <row r="48" spans="1:18" ht="14.3">
      <c r="A48" s="42" t="str">
        <f>A47</f>
        <v>Estudos e Projetos, Planos e Gerenciamento e outros correlatos</v>
      </c>
      <c r="B48" s="44" t="s">
        <v>107</v>
      </c>
      <c r="C48" s="42" t="str">
        <f t="shared" si="0"/>
        <v>Estudos e Projetos, Planos e Gerenciamento e outros correlatos-K3</v>
      </c>
      <c r="E48" s="45" t="s">
        <v>46</v>
      </c>
      <c r="F48" s="45">
        <v>0.12</v>
      </c>
      <c r="G48" s="45" t="s">
        <v>46</v>
      </c>
      <c r="I48" s="21" t="s">
        <v>17</v>
      </c>
      <c r="J48" s="275">
        <f>DADOS!B55</f>
        <v>0</v>
      </c>
      <c r="K48" s="275"/>
      <c r="L48" s="275"/>
      <c r="M48" s="59"/>
      <c r="N48" s="59"/>
      <c r="O48" s="21" t="s">
        <v>60</v>
      </c>
      <c r="P48" s="288" t="s">
        <v>239</v>
      </c>
      <c r="Q48" s="288"/>
      <c r="R48" s="288"/>
    </row>
    <row r="49" spans="1:18" ht="14.3">
      <c r="A49" s="42" t="str">
        <f>A48</f>
        <v>Estudos e Projetos, Planos e Gerenciamento e outros correlatos</v>
      </c>
      <c r="B49" s="49" t="s">
        <v>33</v>
      </c>
      <c r="C49" s="42" t="str">
        <f t="shared" si="0"/>
        <v>Estudos e Projetos, Planos e Gerenciamento e outros correlatos-BDI PAD</v>
      </c>
      <c r="E49" s="45" t="s">
        <v>46</v>
      </c>
      <c r="F49" s="45" t="s">
        <v>46</v>
      </c>
      <c r="G49" s="45" t="s">
        <v>46</v>
      </c>
      <c r="I49" s="21" t="str">
        <f>DADOS!A56</f>
        <v>Empresa:</v>
      </c>
      <c r="J49" s="275">
        <f>DADOS!B56</f>
        <v>0</v>
      </c>
      <c r="K49" s="275"/>
      <c r="L49" s="275"/>
      <c r="M49" s="59"/>
      <c r="N49" s="59"/>
      <c r="O49" s="59"/>
      <c r="P49" s="59"/>
      <c r="Q49" s="59"/>
      <c r="R49" s="59"/>
    </row>
    <row r="50" spans="9:12" ht="13.6">
      <c r="I50" s="21" t="str">
        <f>DADOS!A57</f>
        <v>CNPJ:</v>
      </c>
      <c r="J50" s="275">
        <f>DADOS!B57</f>
        <v>0</v>
      </c>
      <c r="K50" s="275"/>
      <c r="L50" s="275"/>
    </row>
    <row r="51" ht="12.75"/>
    <row r="52" ht="12.75" hidden="1">
      <c r="A52" s="42" t="s">
        <v>28</v>
      </c>
    </row>
    <row r="53" ht="12.75" hidden="1">
      <c r="A53" s="42" t="s">
        <v>34</v>
      </c>
    </row>
    <row r="54" ht="12.75" hidden="1">
      <c r="A54" s="42" t="s">
        <v>37</v>
      </c>
    </row>
    <row r="55" ht="12.75" hidden="1">
      <c r="A55" s="42" t="s">
        <v>47</v>
      </c>
    </row>
    <row r="56" ht="12.75" hidden="1">
      <c r="A56" s="42" t="s">
        <v>54</v>
      </c>
    </row>
    <row r="57" ht="12.75" hidden="1">
      <c r="A57" s="42" t="s">
        <v>137</v>
      </c>
    </row>
    <row r="58" ht="12.75" hidden="1">
      <c r="A58" s="42" t="s">
        <v>138</v>
      </c>
    </row>
    <row r="59" ht="12.75" hidden="1">
      <c r="A59" s="42" t="s">
        <v>59</v>
      </c>
    </row>
    <row r="60" spans="1:7" ht="13.6" hidden="1">
      <c r="A60" s="60"/>
      <c r="B60" s="59"/>
      <c r="C60" s="59"/>
      <c r="D60" s="59"/>
      <c r="E60" s="59"/>
      <c r="F60" s="59"/>
      <c r="G60" s="59"/>
    </row>
  </sheetData>
  <sheetProtection algorithmName="SHA-512" hashValue="5uotS2HbAVYLivcI5rHp72cVxiaVw/5d5qggZOQOKHTclV7bdp8+PqaQc4DLQXpipWwoOTMyfdHs+rREGzaasQ==" saltValue="iz2WzlAkNK7VjcZqrq1KWg==" spinCount="100000"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conditionalFormatting sqref="O42">
    <cfRule type="expression" priority="6" dxfId="148" stopIfTrue="1">
      <formula>$O$42=""</formula>
    </cfRule>
  </conditionalFormatting>
  <conditionalFormatting sqref="O18:O27">
    <cfRule type="expression" priority="11" dxfId="153" stopIfTrue="1">
      <formula>AND(O18&lt;&gt;"OK",O18&lt;&gt;"-",O18&lt;&gt;"")</formula>
    </cfRule>
    <cfRule type="cellIs" priority="12" dxfId="152" operator="equal" stopIfTrue="1">
      <formula>"OK"</formula>
    </cfRule>
  </conditionalFormatting>
  <conditionalFormatting sqref="I26:N26">
    <cfRule type="expression" priority="10" dxfId="151" stopIfTrue="1">
      <formula>$Q$11="Não"</formula>
    </cfRule>
  </conditionalFormatting>
  <conditionalFormatting sqref="I27:N27">
    <cfRule type="expression" priority="9" dxfId="150" stopIfTrue="1">
      <formula>$Q$11="sim"</formula>
    </cfRule>
  </conditionalFormatting>
  <conditionalFormatting sqref="P27:R27">
    <cfRule type="expression" priority="8" dxfId="149" stopIfTrue="1">
      <formula>$Q$11="sim"</formula>
    </cfRule>
  </conditionalFormatting>
  <conditionalFormatting sqref="P47:R48">
    <cfRule type="expression" priority="7" dxfId="148" stopIfTrue="1">
      <formula>P47=""</formula>
    </cfRule>
  </conditionalFormatting>
  <conditionalFormatting sqref="I29:R29">
    <cfRule type="expression" priority="3" dxfId="147" stopIfTrue="1">
      <formula>AND(NOT($V$27),NOT($V$29))</formula>
    </cfRule>
  </conditionalFormatting>
  <conditionalFormatting sqref="P18:R26">
    <cfRule type="expression" priority="2" dxfId="146"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3937007874015748" right="0.1968503937007874" top="0.984251968503937" bottom="0.3937007874015748" header="0.5905511811023623" footer="0.5905511811023623"/>
  <pageSetup fitToHeight="1" fitToWidth="1" horizontalDpi="600" verticalDpi="600" orientation="portrait" paperSize="9" scale="64" r:id="rId3"/>
  <headerFooter alignWithMargins="0">
    <oddHeader>&amp;LESTADO DO RIO GRANDE DO SUL
MUNICÍPIO DE TENENTE PORTELA&amp;C&amp;14I&amp;RPROCESO LICITATÓRIO Nr.  66/2019
TOMADA DE PREÇOS Nr. 02/2019</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FF00"/>
    <pageSetUpPr fitToPage="1"/>
  </sheetPr>
  <dimension ref="A1:AA55"/>
  <sheetViews>
    <sheetView showGridLines="0" tabSelected="1" view="pageLayout" zoomScaleSheetLayoutView="100" workbookViewId="0" topLeftCell="L8">
      <selection activeCell="L17" sqref="L17"/>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574218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9" customHeight="1">
      <c r="A1" s="1"/>
      <c r="B1" s="1"/>
      <c r="E1" s="1"/>
      <c r="F1" s="1"/>
      <c r="G1" s="1"/>
      <c r="H1" s="1"/>
      <c r="I1" s="1"/>
      <c r="J1" s="67"/>
      <c r="K1" s="1"/>
      <c r="L1" s="1"/>
      <c r="M1" s="1"/>
      <c r="N1" s="84" t="s">
        <v>167</v>
      </c>
      <c r="O1" s="1"/>
      <c r="P1" s="68"/>
      <c r="Q1" s="1"/>
      <c r="R1" s="1"/>
      <c r="S1" s="1"/>
      <c r="T1" s="65" t="s">
        <v>165</v>
      </c>
      <c r="U1" s="1"/>
      <c r="V1" s="1"/>
      <c r="W1" s="1"/>
      <c r="X1" s="1"/>
      <c r="Y1" s="1"/>
      <c r="Z1" s="1"/>
      <c r="AA1" s="1"/>
    </row>
    <row r="2" spans="1:27" ht="12.75" customHeight="1">
      <c r="A2" s="1"/>
      <c r="B2" s="1" t="s">
        <v>157</v>
      </c>
      <c r="C2" s="1" t="s">
        <v>99</v>
      </c>
      <c r="D2" s="1" t="s">
        <v>100</v>
      </c>
      <c r="E2" s="1" t="s">
        <v>101</v>
      </c>
      <c r="F2" s="1" t="s">
        <v>102</v>
      </c>
      <c r="G2" s="1" t="s">
        <v>103</v>
      </c>
      <c r="H2" s="1"/>
      <c r="I2" s="1"/>
      <c r="J2" s="1"/>
      <c r="K2" s="1"/>
      <c r="L2" s="1"/>
      <c r="M2" s="1"/>
      <c r="N2" s="87"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1"/>
      <c r="P2" s="1"/>
      <c r="Q2" s="1"/>
      <c r="R2" s="1"/>
      <c r="S2" s="1"/>
      <c r="T2" s="66" t="s">
        <v>166</v>
      </c>
      <c r="U2" s="1"/>
      <c r="V2" s="1"/>
      <c r="W2" s="314" t="s">
        <v>181</v>
      </c>
      <c r="X2" s="314"/>
      <c r="Y2" s="1"/>
      <c r="Z2" s="1"/>
      <c r="AA2" s="1"/>
    </row>
    <row r="3" spans="1:27" ht="12.75" customHeight="1">
      <c r="A3" s="1"/>
      <c r="B3" s="1"/>
      <c r="F3" s="2"/>
      <c r="G3" s="1"/>
      <c r="H3" s="1"/>
      <c r="I3" s="1"/>
      <c r="J3" s="1"/>
      <c r="K3" s="1"/>
      <c r="L3" s="1"/>
      <c r="M3" s="1"/>
      <c r="N3" s="16"/>
      <c r="O3" s="1"/>
      <c r="P3" s="1"/>
      <c r="Q3" s="1"/>
      <c r="R3" s="1"/>
      <c r="S3" s="1"/>
      <c r="T3" s="1"/>
      <c r="U3" s="1"/>
      <c r="V3" s="1"/>
      <c r="W3" s="178" t="s">
        <v>148</v>
      </c>
      <c r="X3" s="181" t="b">
        <v>1</v>
      </c>
      <c r="Y3" s="1"/>
      <c r="Z3" s="1"/>
      <c r="AA3" s="1"/>
    </row>
    <row r="4" spans="1:27" ht="25" customHeight="1">
      <c r="A4" s="1" t="s">
        <v>126</v>
      </c>
      <c r="B4" s="1"/>
      <c r="F4" s="2"/>
      <c r="G4" s="1"/>
      <c r="H4" s="1"/>
      <c r="I4" s="1"/>
      <c r="J4" s="1"/>
      <c r="K4" s="1"/>
      <c r="L4" s="1"/>
      <c r="M4" s="1"/>
      <c r="N4" s="1"/>
      <c r="O4" s="1"/>
      <c r="P4" s="1"/>
      <c r="Q4" s="1"/>
      <c r="R4" s="1"/>
      <c r="S4" s="1"/>
      <c r="T4" s="1"/>
      <c r="U4" s="130" t="s">
        <v>188</v>
      </c>
      <c r="W4" s="178" t="s">
        <v>182</v>
      </c>
      <c r="X4" s="181" t="b">
        <v>1</v>
      </c>
      <c r="Y4" s="1"/>
      <c r="Z4" s="1"/>
      <c r="AA4" s="1"/>
    </row>
    <row r="5" spans="1:27" ht="25" customHeight="1">
      <c r="A5" s="4">
        <f>MAX($A$12:$A$40)</f>
        <v>1</v>
      </c>
      <c r="B5" s="1"/>
      <c r="F5" s="2"/>
      <c r="G5" s="1"/>
      <c r="H5" s="1"/>
      <c r="I5" s="1"/>
      <c r="J5" s="1"/>
      <c r="K5" s="1"/>
      <c r="L5" s="1"/>
      <c r="M5" s="1"/>
      <c r="N5" s="1"/>
      <c r="O5" s="1"/>
      <c r="P5" s="1"/>
      <c r="Q5" s="1"/>
      <c r="R5" s="1"/>
      <c r="S5" s="1"/>
      <c r="T5" s="1"/>
      <c r="U5" s="101" t="str">
        <f ca="1">IF(COUNTIF($U$12:OFFSET($U$40,-1,0),"DESCRIÇÃO")+COUNTIF($U$12:OFFSET($U$40,-1,0),"UNIDADE")+COUNTIF($U$12:OFFSET($U$40,-1,0),"SEM VALOR")&gt;0,"NÃO OK","OK")</f>
        <v>NÃO OK</v>
      </c>
      <c r="V5" s="179" t="s">
        <v>106</v>
      </c>
      <c r="W5" s="178" t="s">
        <v>183</v>
      </c>
      <c r="X5" s="181" t="b">
        <v>1</v>
      </c>
      <c r="Y5" s="1"/>
      <c r="Z5" s="1"/>
      <c r="AA5" s="1"/>
    </row>
    <row r="6" spans="1:27" ht="25" customHeight="1">
      <c r="A6" s="1"/>
      <c r="B6" s="1"/>
      <c r="F6" s="2"/>
      <c r="G6" s="1"/>
      <c r="H6" s="1"/>
      <c r="I6" s="1"/>
      <c r="J6" s="1"/>
      <c r="K6" s="1"/>
      <c r="L6" s="1"/>
      <c r="M6" s="1"/>
      <c r="N6" s="1"/>
      <c r="O6" s="1"/>
      <c r="P6" s="1"/>
      <c r="Q6" s="1"/>
      <c r="R6" s="1"/>
      <c r="S6" s="1"/>
      <c r="T6" s="1"/>
      <c r="U6" s="1"/>
      <c r="V6" s="1"/>
      <c r="W6" s="178" t="s">
        <v>184</v>
      </c>
      <c r="X6" s="181" t="b">
        <v>1</v>
      </c>
      <c r="Y6" s="1"/>
      <c r="Z6" s="1"/>
      <c r="AA6" s="1"/>
    </row>
    <row r="7" spans="1:27" ht="25" customHeight="1">
      <c r="A7" s="1"/>
      <c r="B7" s="1"/>
      <c r="C7" s="1"/>
      <c r="E7" s="2"/>
      <c r="F7" s="2"/>
      <c r="G7" s="1"/>
      <c r="H7" s="1"/>
      <c r="I7" s="1"/>
      <c r="J7" s="1"/>
      <c r="K7" s="1"/>
      <c r="L7" s="1"/>
      <c r="M7" s="1"/>
      <c r="N7" s="1"/>
      <c r="O7" s="1"/>
      <c r="P7" s="1"/>
      <c r="Q7" s="1"/>
      <c r="R7" s="1"/>
      <c r="S7" s="1"/>
      <c r="T7" s="1"/>
      <c r="U7" s="1"/>
      <c r="V7" s="1"/>
      <c r="W7" s="178" t="s">
        <v>185</v>
      </c>
      <c r="X7" s="181" t="b">
        <v>1</v>
      </c>
      <c r="Y7" s="1"/>
      <c r="Z7" s="1"/>
      <c r="AA7" s="1"/>
    </row>
    <row r="8" spans="1:27" ht="30.1" customHeight="1">
      <c r="A8" s="1"/>
      <c r="B8" s="1"/>
      <c r="C8" s="1"/>
      <c r="D8" s="1"/>
      <c r="E8" s="2"/>
      <c r="F8" s="2"/>
      <c r="G8" s="1"/>
      <c r="H8" s="1"/>
      <c r="I8" s="1"/>
      <c r="J8" s="1"/>
      <c r="K8" s="1"/>
      <c r="L8" s="1"/>
      <c r="M8" s="1"/>
      <c r="N8" s="1"/>
      <c r="O8" s="1"/>
      <c r="P8" s="1"/>
      <c r="Q8" s="1"/>
      <c r="R8" s="1"/>
      <c r="S8" s="1"/>
      <c r="T8" s="1"/>
      <c r="U8" s="1"/>
      <c r="V8" s="1"/>
      <c r="W8" s="1"/>
      <c r="X8" s="1"/>
      <c r="Y8" s="1"/>
      <c r="Z8" s="1"/>
      <c r="AA8" s="1"/>
    </row>
    <row r="9" spans="1:27" ht="12.75" customHeight="1" hidden="1">
      <c r="A9" s="1"/>
      <c r="B9" s="1"/>
      <c r="C9" s="1"/>
      <c r="D9" s="1"/>
      <c r="E9" s="2"/>
      <c r="F9" s="2"/>
      <c r="G9" s="1"/>
      <c r="H9" s="1"/>
      <c r="I9" s="1"/>
      <c r="J9" s="1"/>
      <c r="K9" s="1"/>
      <c r="L9" s="1"/>
      <c r="M9" s="1"/>
      <c r="N9" s="1"/>
      <c r="O9" s="1"/>
      <c r="P9" s="191" t="str">
        <f ca="1">OFFSET(PLQ!$E$12,ROW($P9)-ROW(P$12),0)</f>
        <v>-</v>
      </c>
      <c r="Q9" s="1"/>
      <c r="R9" s="1"/>
      <c r="S9" s="1"/>
      <c r="T9" s="1"/>
      <c r="U9" s="1"/>
      <c r="V9" s="1"/>
      <c r="W9" s="1"/>
      <c r="X9" s="1"/>
      <c r="Y9" s="1"/>
      <c r="Z9" s="1"/>
      <c r="AA9" s="1"/>
    </row>
    <row r="10" spans="1:27" ht="30.1" customHeight="1">
      <c r="A10" s="62" t="s">
        <v>3</v>
      </c>
      <c r="B10" s="62" t="s">
        <v>123</v>
      </c>
      <c r="C10" s="62" t="s">
        <v>152</v>
      </c>
      <c r="D10" s="62" t="s">
        <v>153</v>
      </c>
      <c r="E10" s="62" t="s">
        <v>154</v>
      </c>
      <c r="F10" s="62" t="s">
        <v>155</v>
      </c>
      <c r="G10" s="62" t="s">
        <v>156</v>
      </c>
      <c r="H10" s="62" t="s">
        <v>124</v>
      </c>
      <c r="I10" s="62" t="s">
        <v>125</v>
      </c>
      <c r="J10" s="62" t="s">
        <v>3</v>
      </c>
      <c r="K10" s="62" t="s">
        <v>147</v>
      </c>
      <c r="L10" s="62" t="s">
        <v>146</v>
      </c>
      <c r="M10" s="62" t="s">
        <v>4</v>
      </c>
      <c r="N10" s="62" t="s">
        <v>142</v>
      </c>
      <c r="O10" s="63" t="s">
        <v>149</v>
      </c>
      <c r="P10" s="62" t="s">
        <v>148</v>
      </c>
      <c r="Q10" s="62" t="str">
        <f>IF(OR(TipoOrçamento="LICITADO",TipoOrçamento="REPROGRAMADOAC"),"Preço Unitário (R$)","Custo Unitário (R$)")</f>
        <v>Preço Unitário (R$)</v>
      </c>
      <c r="R10" s="62" t="s">
        <v>5</v>
      </c>
      <c r="S10" s="62" t="s">
        <v>151</v>
      </c>
      <c r="T10" s="62" t="s">
        <v>6</v>
      </c>
      <c r="U10" s="62" t="s">
        <v>159</v>
      </c>
      <c r="V10" s="100" t="s">
        <v>161</v>
      </c>
      <c r="W10" s="100" t="s">
        <v>122</v>
      </c>
      <c r="X10" s="100" t="s">
        <v>130</v>
      </c>
      <c r="Y10" s="99" t="str">
        <f>IF(TipoOrçamento="LICITADO","Preço Unitário Edital (R$)","Custo Unitário Referência (R$)")</f>
        <v>Preço Unitário Edital (R$)</v>
      </c>
      <c r="Z10" s="125" t="str">
        <f>IF(TipoOrçamento="LICITADO","Valor BDI Edital","Valor BDI")</f>
        <v>Valor BDI Edital</v>
      </c>
      <c r="AA10" s="1"/>
    </row>
    <row r="11" spans="1:27" ht="13.6"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IF(OR($A11="S",$A11=0),0,MATCH(0,OFFSET($B11,1,$A11,ROW($A$40)-ROW($A11)),0))</f>
        <v>0</v>
      </c>
      <c r="I11">
        <f ca="1">IF(OR($A11="S",$A11=0),0,MATCH(OFFSET($B11,0,$A11)+1,OFFSET($B11,1,$A11,ROW($A$40)-ROW($A11)),0))</f>
        <v>0</v>
      </c>
      <c r="J11" s="102" t="s">
        <v>103</v>
      </c>
      <c r="K11" s="138" t="e">
        <f ca="1">IF($A11=0,"-",CONCATENATE(C11&amp;".",IF(AND($A$5&gt;=2,$A11&gt;=2),D11&amp;".",""),IF(AND($A$5&gt;=3,$A11&gt;=3),E11&amp;".",""),IF(AND($A$5&gt;=4,$A11&gt;=4),F11&amp;".",""),IF($A11="S",G11&amp;".","")))</f>
        <v>#VALUE!</v>
      </c>
      <c r="L11" s="176"/>
      <c r="M11" s="176"/>
      <c r="N11" s="198" t="str">
        <f ca="1">IF($A11="S",Referencia.Descricao,"(digite a descrição aqui)")</f>
        <v/>
      </c>
      <c r="O11" s="197" t="str">
        <f ca="1">Referencia.Unidade</f>
        <v/>
      </c>
      <c r="P11" s="192">
        <f ca="1">OFFSET(PLQ!$E$12,ROW($P11)-ROW(P$12),0)</f>
        <v>0</v>
      </c>
      <c r="Q11" s="196"/>
      <c r="R11" s="199" t="s">
        <v>7</v>
      </c>
      <c r="S11" s="103">
        <f>IF($A11="S",IF($Q$10="Preço Unitário (R$)",PO.CustoUnitario,ROUND(PO.CustoUnitario*(1+$Z11),15-13*$X$6)),0)</f>
        <v>0</v>
      </c>
      <c r="T11" s="83">
        <f ca="1">IF($A11="S",VTOTAL1,IF($A11=0,0,ROUND(SomaAgrup,15-13*$X$7)))</f>
        <v>0</v>
      </c>
      <c r="U11" s="9" t="str">
        <f ca="1">IF($J11="","",IF($N11="","DESCRIÇÃO",IF(AND($J11="Serviço",$O11=""),"UNIDADE",IF($T11&lt;=0,"SEM VALOR",IF(AND($Y11&lt;&gt;"",$Q11&gt;$Y11),"ACIMA REF.","")))))</f>
        <v>DESCRIÇÃO</v>
      </c>
      <c r="V11" s="1" t="str">
        <f ca="1">IF(OR($A11=0,$A11="S",$A11&gt;CFF!$A$9),"",MAX(V$12:OFFSET(V11,-1,0))+1)</f>
        <v/>
      </c>
      <c r="W11" s="4" t="b">
        <f>IF(AND($J11="Serviço",$M11&lt;&gt;""),IF($L11="",$M11,CONCATENATE($L11,"-",$M11)))</f>
        <v>0</v>
      </c>
      <c r="X11" s="1" t="str">
        <f ca="1">IF(AND(Fonte&lt;&gt;"",Código&lt;&gt;""),MATCH(Fonte&amp;" "&amp;IF(Fonte="sinapi",SUBSTITUTE(SUBSTITUTE(Código,"/00","/"),"/0","/"),Código),INDIRECT("'[Referência "&amp;_XLNM.DATABASE&amp;".xls]Banco'!$a:$a"),0),"X")</f>
        <v>X</v>
      </c>
      <c r="Y11" s="103">
        <f ca="1">IF(Import.Desoneracao="sim",Referencia.Desonerado,Referencia.NaoDesonerado)</f>
        <v>0</v>
      </c>
      <c r="Z11" s="113">
        <f ca="1">ROUND(IF(ISNUMBER(R11),R11,IF(LEFT(R11,3)="BDI",HLOOKUP(R11,DADOS!$T$37:$X$38,2,FALSE),0)),15-11*$X$5)</f>
        <v>0.2639</v>
      </c>
      <c r="AA11" s="1"/>
    </row>
    <row r="12" spans="1:27" ht="13.6">
      <c r="A12">
        <v>0</v>
      </c>
      <c r="B12">
        <f ca="1">COUNTA(OFFSET(B12,1,0):B$40)</f>
        <v>27</v>
      </c>
      <c r="J12" s="64" t="str">
        <f>IF(OR(TipoOrçamento="LICITADO",TipoOrçamento="REPROGRAMADOAC"),"CTEF","LOTE")</f>
        <v>CTEF</v>
      </c>
      <c r="K12" s="139">
        <v>0</v>
      </c>
      <c r="L12" s="6"/>
      <c r="M12" s="6"/>
      <c r="N12" s="73">
        <f>IF(TipoOrçamento="LICITADO",DADOS!O43,DADOS!G38)</f>
        <v>0</v>
      </c>
      <c r="O12" s="6"/>
      <c r="P12" s="7"/>
      <c r="Q12" s="7"/>
      <c r="R12" s="8"/>
      <c r="S12" s="7"/>
      <c r="T12" s="82">
        <f ca="1">SUMIF(OFFSET($J12,1,0,ROW(T40)-ROW(T12)-1),"Serviço",OFFSET(T12,1,0,ROW(T40)-ROW(T12)-1))</f>
        <v>0</v>
      </c>
      <c r="U12" s="9" t="str">
        <f>IF($N12=0,"DESCRIÇÃO","")</f>
        <v>DESCRIÇÃO</v>
      </c>
      <c r="V12" s="1">
        <v>0</v>
      </c>
      <c r="W12" s="1"/>
      <c r="X12" s="1"/>
      <c r="Y12" s="7"/>
      <c r="Z12" s="114"/>
      <c r="AA12" s="1"/>
    </row>
    <row r="13" spans="1:27" ht="13.6">
      <c r="A13">
        <f aca="true" t="shared" si="0" ref="A13:A39">CHOOSE(1+LOG(1+2*(J13="Meta")+4*(J13="Nível 2")+8*(J13="Nível 3")+16*(J13="Nível 4")+32*(J13="Serviço"),2),0,1,2,3,4,"S")</f>
        <v>1</v>
      </c>
      <c r="B13">
        <f aca="true" t="shared" si="1" ref="B13:B39">IF(OR(A13="S",A13=0),0,IF(ISERROR(I13),H13,SMALL(H13:I13,1)))</f>
        <v>2</v>
      </c>
      <c r="C13">
        <f aca="true" ca="1" t="shared" si="2" ref="C13:C39">IF($A13=1,OFFSET(C13,-1,0)+1,OFFSET(C13,-1,0))</f>
        <v>1</v>
      </c>
      <c r="D13">
        <f aca="true" ca="1" t="shared" si="3" ref="D13:D39">IF($A13=1,0,IF($A13=2,OFFSET(D13,-1,0)+1,OFFSET(D13,-1,0)))</f>
        <v>0</v>
      </c>
      <c r="E13">
        <f aca="true" ca="1" t="shared" si="4" ref="E13:E39">IF(AND($A13&lt;=2,$A13&lt;&gt;0),0,IF($A13=3,OFFSET(E13,-1,0)+1,OFFSET(E13,-1,0)))</f>
        <v>0</v>
      </c>
      <c r="F13">
        <f aca="true" ca="1" t="shared" si="5" ref="F13:F39">IF(AND($A13&lt;=3,$A13&lt;&gt;0),0,IF($A13=4,OFFSET(F13,-1,0)+1,OFFSET(F13,-1,0)))</f>
        <v>0</v>
      </c>
      <c r="G13">
        <f aca="true" ca="1" t="shared" si="6" ref="G13:G39">IF(AND($A13&lt;=4,$A13&lt;&gt;0),0,IF($A13="S",OFFSET(G13,-1,0)+1,OFFSET(G13,-1,0)))</f>
        <v>0</v>
      </c>
      <c r="H13">
        <f aca="true" ca="1" t="shared" si="7" ref="H13:H39">IF(OR($A13="S",$A13=0),0,MATCH(0,OFFSET($B13,1,$A13,ROW($A$40)-ROW($A13)),0))</f>
        <v>27</v>
      </c>
      <c r="I13">
        <f aca="true" ca="1" t="shared" si="8" ref="I13:I39">IF(OR($A13="S",$A13=0),0,MATCH(OFFSET($B13,0,$A13)+1,OFFSET($B13,1,$A13,ROW($A$40)-ROW($A13)),0))</f>
        <v>2</v>
      </c>
      <c r="J13" s="352" t="s">
        <v>99</v>
      </c>
      <c r="K13" s="138" t="str">
        <f aca="true" t="shared" si="9" ref="K13:K39">IF($A13=0,"-",CONCATENATE(C13&amp;".",IF(AND($A$5&gt;=2,$A13&gt;=2),D13&amp;".",""),IF(AND($A$5&gt;=3,$A13&gt;=3),E13&amp;".",""),IF(AND($A$5&gt;=4,$A13&gt;=4),F13&amp;".",""),IF($A13="S",G13&amp;".","")))</f>
        <v>1.</v>
      </c>
      <c r="L13" s="354"/>
      <c r="M13" s="354"/>
      <c r="N13" s="355" t="s">
        <v>240</v>
      </c>
      <c r="O13" s="356" t="s">
        <v>106</v>
      </c>
      <c r="P13" s="357">
        <f ca="1">OFFSET(PLQ!$E$12,ROW($P13)-ROW(P$12),0)</f>
        <v>0</v>
      </c>
      <c r="Q13" s="196"/>
      <c r="R13" s="199" t="s">
        <v>7</v>
      </c>
      <c r="S13" s="103">
        <f aca="true" t="shared" si="10" ref="S13:S39">IF($A13="S",IF($Q$10="Preço Unitário (R$)",PO.CustoUnitario,ROUND(PO.CustoUnitario*(1+$Z13),15-13*$X$6)),0)</f>
        <v>0</v>
      </c>
      <c r="T13" s="83">
        <f aca="true" ca="1" t="shared" si="11" ref="T13:T39">IF($A13="S",VTOTAL1,IF($A13=0,0,ROUND(SomaAgrup,15-13*$X$7)))</f>
        <v>0</v>
      </c>
      <c r="U13" s="9" t="str">
        <f aca="true" t="shared" si="12" ref="U13:U39">IF($J13="","",IF($N13="","DESCRIÇÃO",IF(AND($J13="Serviço",$O13=""),"UNIDADE",IF($T13&lt;=0,"SEM VALOR",IF(AND($Y13&lt;&gt;"",$Q13&gt;$Y13),"ACIMA REF.","")))))</f>
        <v>SEM VALOR</v>
      </c>
      <c r="V13" s="1">
        <f ca="1">IF(OR($A13=0,$A13="S",$A13&gt;CFF!$A$9),"",MAX(V$12:OFFSET(V13,-1,0))+1)</f>
        <v>1</v>
      </c>
      <c r="W13" s="4" t="b">
        <f aca="true" t="shared" si="13" ref="W13:W39">IF(AND($J13="Serviço",$M13&lt;&gt;""),IF($L13="",$M13,CONCATENATE($L13,"-",$M13)))</f>
        <v>0</v>
      </c>
      <c r="X13" s="1" t="str">
        <f aca="true" t="shared" si="14" ref="X13:X39">IF(AND(Fonte&lt;&gt;"",Código&lt;&gt;""),MATCH(Fonte&amp;" "&amp;IF(Fonte="sinapi",SUBSTITUTE(SUBSTITUTE(Código,"/00","/"),"/0","/"),Código),INDIRECT("'[Referência "&amp;_XLNM.DATABASE&amp;".xls]Banco'!$a:$a"),0),"X")</f>
        <v>X</v>
      </c>
      <c r="Y13" s="103">
        <v>0</v>
      </c>
      <c r="Z13" s="113">
        <f ca="1">ROUND(IF(ISNUMBER(R13),R13,IF(LEFT(R13,3)="BDI",HLOOKUP(R13,DADOS!$T$37:$X$38,2,FALSE),0)),15-11*$X$5)</f>
        <v>0.2639</v>
      </c>
      <c r="AA13" s="1"/>
    </row>
    <row r="14" spans="1:27" ht="13.6">
      <c r="A14" t="str">
        <f t="shared" si="0"/>
        <v>S</v>
      </c>
      <c r="B14">
        <f t="shared" si="1"/>
        <v>0</v>
      </c>
      <c r="C14">
        <f ca="1" t="shared" si="2"/>
        <v>1</v>
      </c>
      <c r="D14">
        <f ca="1" t="shared" si="3"/>
        <v>0</v>
      </c>
      <c r="E14">
        <f ca="1" t="shared" si="4"/>
        <v>0</v>
      </c>
      <c r="F14">
        <f ca="1" t="shared" si="5"/>
        <v>0</v>
      </c>
      <c r="G14">
        <f ca="1" t="shared" si="6"/>
        <v>1</v>
      </c>
      <c r="H14">
        <f ca="1" t="shared" si="7"/>
        <v>0</v>
      </c>
      <c r="I14">
        <f ca="1" t="shared" si="8"/>
        <v>0</v>
      </c>
      <c r="J14" s="353" t="s">
        <v>103</v>
      </c>
      <c r="K14" s="138" t="str">
        <f ca="1" t="shared" si="9"/>
        <v>1.1.</v>
      </c>
      <c r="L14" s="354" t="s">
        <v>236</v>
      </c>
      <c r="M14" s="354" t="s">
        <v>241</v>
      </c>
      <c r="N14" s="355" t="s">
        <v>274</v>
      </c>
      <c r="O14" s="356" t="s">
        <v>293</v>
      </c>
      <c r="P14" s="357">
        <f ca="1">OFFSET(PLQ!$E$12,ROW($P14)-ROW(P$12),0)</f>
        <v>2.5</v>
      </c>
      <c r="Q14" s="196"/>
      <c r="R14" s="199" t="s">
        <v>7</v>
      </c>
      <c r="S14" s="103">
        <f t="shared" si="10"/>
        <v>0</v>
      </c>
      <c r="T14" s="83">
        <f ca="1" t="shared" si="11"/>
        <v>0</v>
      </c>
      <c r="U14" s="9" t="str">
        <f ca="1" t="shared" si="12"/>
        <v>SEM VALOR</v>
      </c>
      <c r="V14" s="1" t="str">
        <f ca="1">IF(OR($A14=0,$A14="S",$A14&gt;CFF!$A$9),"",MAX(V$12:OFFSET(V14,-1,0))+1)</f>
        <v/>
      </c>
      <c r="W14" s="4" t="str">
        <f t="shared" si="13"/>
        <v>SINAPI-74209/001</v>
      </c>
      <c r="X14" s="1">
        <f ca="1" t="shared" si="14"/>
        <v>5990</v>
      </c>
      <c r="Y14" s="103">
        <v>391.9</v>
      </c>
      <c r="Z14" s="113">
        <f ca="1">ROUND(IF(ISNUMBER(R14),R14,IF(LEFT(R14,3)="BDI",HLOOKUP(R14,DADOS!$T$37:$X$38,2,FALSE),0)),15-11*$X$5)</f>
        <v>0.2639</v>
      </c>
      <c r="AA14" s="1"/>
    </row>
    <row r="15" spans="1:27" ht="13.6">
      <c r="A15">
        <f t="shared" si="0"/>
        <v>1</v>
      </c>
      <c r="B15">
        <f ca="1" t="shared" si="1"/>
        <v>9</v>
      </c>
      <c r="C15">
        <f ca="1" t="shared" si="2"/>
        <v>2</v>
      </c>
      <c r="D15">
        <f ca="1" t="shared" si="3"/>
        <v>0</v>
      </c>
      <c r="E15">
        <f ca="1" t="shared" si="4"/>
        <v>0</v>
      </c>
      <c r="F15">
        <f ca="1" t="shared" si="5"/>
        <v>0</v>
      </c>
      <c r="G15">
        <f ca="1" t="shared" si="6"/>
        <v>0</v>
      </c>
      <c r="H15">
        <f ca="1" t="shared" si="7"/>
        <v>25</v>
      </c>
      <c r="I15">
        <f ca="1" t="shared" si="8"/>
        <v>9</v>
      </c>
      <c r="J15" s="353" t="s">
        <v>99</v>
      </c>
      <c r="K15" s="138" t="str">
        <f ca="1" t="shared" si="9"/>
        <v>2.</v>
      </c>
      <c r="L15" s="354"/>
      <c r="M15" s="354"/>
      <c r="N15" s="355" t="s">
        <v>258</v>
      </c>
      <c r="O15" s="356" t="s">
        <v>106</v>
      </c>
      <c r="P15" s="357">
        <f ca="1">OFFSET(PLQ!$E$12,ROW($P15)-ROW(P$12),0)</f>
        <v>0</v>
      </c>
      <c r="Q15" s="196"/>
      <c r="R15" s="199" t="s">
        <v>7</v>
      </c>
      <c r="S15" s="103">
        <f t="shared" si="10"/>
        <v>0</v>
      </c>
      <c r="T15" s="83">
        <f ca="1" t="shared" si="11"/>
        <v>0</v>
      </c>
      <c r="U15" s="9" t="str">
        <f ca="1" t="shared" si="12"/>
        <v>SEM VALOR</v>
      </c>
      <c r="V15" s="1">
        <f ca="1">IF(OR($A15=0,$A15="S",$A15&gt;CFF!$A$9),"",MAX(V$12:OFFSET(V15,-1,0))+1)</f>
        <v>2</v>
      </c>
      <c r="W15" s="4" t="b">
        <f t="shared" si="13"/>
        <v>0</v>
      </c>
      <c r="X15" s="1" t="str">
        <f ca="1" t="shared" si="14"/>
        <v>X</v>
      </c>
      <c r="Y15" s="103">
        <v>0</v>
      </c>
      <c r="Z15" s="113">
        <f ca="1">ROUND(IF(ISNUMBER(R15),R15,IF(LEFT(R15,3)="BDI",HLOOKUP(R15,DADOS!$T$37:$X$38,2,FALSE),0)),15-11*$X$5)</f>
        <v>0.2639</v>
      </c>
      <c r="AA15" s="1"/>
    </row>
    <row r="16" spans="1:27" ht="13.6">
      <c r="A16" t="str">
        <f t="shared" si="0"/>
        <v>S</v>
      </c>
      <c r="B16">
        <f t="shared" si="1"/>
        <v>0</v>
      </c>
      <c r="C16">
        <f ca="1" t="shared" si="2"/>
        <v>2</v>
      </c>
      <c r="D16">
        <f ca="1" t="shared" si="3"/>
        <v>0</v>
      </c>
      <c r="E16">
        <f ca="1" t="shared" si="4"/>
        <v>0</v>
      </c>
      <c r="F16">
        <f ca="1" t="shared" si="5"/>
        <v>0</v>
      </c>
      <c r="G16">
        <f ca="1" t="shared" si="6"/>
        <v>1</v>
      </c>
      <c r="H16">
        <f ca="1" t="shared" si="7"/>
        <v>0</v>
      </c>
      <c r="I16">
        <f ca="1" t="shared" si="8"/>
        <v>0</v>
      </c>
      <c r="J16" s="353" t="s">
        <v>103</v>
      </c>
      <c r="K16" s="138" t="str">
        <f ca="1" t="shared" si="9"/>
        <v>2.1.</v>
      </c>
      <c r="L16" s="354" t="s">
        <v>246</v>
      </c>
      <c r="M16" s="354" t="s">
        <v>242</v>
      </c>
      <c r="N16" s="355" t="s">
        <v>275</v>
      </c>
      <c r="O16" s="356" t="s">
        <v>294</v>
      </c>
      <c r="P16" s="357">
        <f ca="1">OFFSET(PLQ!$E$12,ROW($P16)-ROW(P$12),0)</f>
        <v>439.4</v>
      </c>
      <c r="Q16" s="196"/>
      <c r="R16" s="199" t="s">
        <v>7</v>
      </c>
      <c r="S16" s="103">
        <f t="shared" si="10"/>
        <v>0</v>
      </c>
      <c r="T16" s="83">
        <f ca="1" t="shared" si="11"/>
        <v>0</v>
      </c>
      <c r="U16" s="9" t="str">
        <f ca="1" t="shared" si="12"/>
        <v>SEM VALOR</v>
      </c>
      <c r="V16" s="1" t="str">
        <f ca="1">IF(OR($A16=0,$A16="S",$A16&gt;CFF!$A$9),"",MAX(V$12:OFFSET(V16,-1,0))+1)</f>
        <v/>
      </c>
      <c r="W16" s="4" t="str">
        <f t="shared" si="13"/>
        <v>COMPOSIÇÃO-1</v>
      </c>
      <c r="X16" s="1">
        <f ca="1" t="shared" si="14"/>
        <v>7</v>
      </c>
      <c r="Y16" s="103">
        <v>13.31</v>
      </c>
      <c r="Z16" s="113">
        <f ca="1">ROUND(IF(ISNUMBER(R16),R16,IF(LEFT(R16,3)="BDI",HLOOKUP(R16,DADOS!$T$37:$X$38,2,FALSE),0)),15-11*$X$5)</f>
        <v>0.2639</v>
      </c>
      <c r="AA16" s="1"/>
    </row>
    <row r="17" spans="1:27" ht="38.75">
      <c r="A17" t="str">
        <f t="shared" si="0"/>
        <v>S</v>
      </c>
      <c r="B17">
        <f t="shared" si="1"/>
        <v>0</v>
      </c>
      <c r="C17">
        <f ca="1" t="shared" si="2"/>
        <v>2</v>
      </c>
      <c r="D17">
        <f ca="1" t="shared" si="3"/>
        <v>0</v>
      </c>
      <c r="E17">
        <f ca="1" t="shared" si="4"/>
        <v>0</v>
      </c>
      <c r="F17">
        <f ca="1" t="shared" si="5"/>
        <v>0</v>
      </c>
      <c r="G17">
        <f ca="1" t="shared" si="6"/>
        <v>2</v>
      </c>
      <c r="H17">
        <f ca="1" t="shared" si="7"/>
        <v>0</v>
      </c>
      <c r="I17">
        <f ca="1" t="shared" si="8"/>
        <v>0</v>
      </c>
      <c r="J17" s="353" t="s">
        <v>103</v>
      </c>
      <c r="K17" s="138" t="str">
        <f ca="1" t="shared" si="9"/>
        <v>2.2.</v>
      </c>
      <c r="L17" s="354" t="s">
        <v>236</v>
      </c>
      <c r="M17" s="354" t="s">
        <v>243</v>
      </c>
      <c r="N17" s="355" t="s">
        <v>276</v>
      </c>
      <c r="O17" s="356" t="s">
        <v>295</v>
      </c>
      <c r="P17" s="357">
        <f ca="1">OFFSET(PLQ!$E$12,ROW($P17)-ROW(P$12),0)</f>
        <v>93.93</v>
      </c>
      <c r="Q17" s="196"/>
      <c r="R17" s="199" t="s">
        <v>7</v>
      </c>
      <c r="S17" s="103">
        <f t="shared" si="10"/>
        <v>0</v>
      </c>
      <c r="T17" s="83">
        <f ca="1" t="shared" si="11"/>
        <v>0</v>
      </c>
      <c r="U17" s="9" t="str">
        <f ca="1" t="shared" si="12"/>
        <v>SEM VALOR</v>
      </c>
      <c r="V17" s="1" t="str">
        <f ca="1">IF(OR($A17=0,$A17="S",$A17&gt;CFF!$A$9),"",MAX(V$12:OFFSET(V17,-1,0))+1)</f>
        <v/>
      </c>
      <c r="W17" s="4" t="str">
        <f t="shared" si="13"/>
        <v>SINAPI-89889</v>
      </c>
      <c r="X17" s="1">
        <f ca="1" t="shared" si="14"/>
        <v>10463</v>
      </c>
      <c r="Y17" s="103">
        <v>10.55</v>
      </c>
      <c r="Z17" s="113">
        <f ca="1">ROUND(IF(ISNUMBER(R17),R17,IF(LEFT(R17,3)="BDI",HLOOKUP(R17,DADOS!$T$37:$X$38,2,FALSE),0)),15-11*$X$5)</f>
        <v>0.2639</v>
      </c>
      <c r="AA17" s="1"/>
    </row>
    <row r="18" spans="1:27" ht="13.6">
      <c r="A18" t="str">
        <f t="shared" si="0"/>
        <v>S</v>
      </c>
      <c r="B18">
        <f t="shared" si="1"/>
        <v>0</v>
      </c>
      <c r="C18">
        <f ca="1" t="shared" si="2"/>
        <v>2</v>
      </c>
      <c r="D18">
        <f ca="1" t="shared" si="3"/>
        <v>0</v>
      </c>
      <c r="E18">
        <f ca="1" t="shared" si="4"/>
        <v>0</v>
      </c>
      <c r="F18">
        <f ca="1" t="shared" si="5"/>
        <v>0</v>
      </c>
      <c r="G18">
        <f ca="1" t="shared" si="6"/>
        <v>3</v>
      </c>
      <c r="H18">
        <f ca="1" t="shared" si="7"/>
        <v>0</v>
      </c>
      <c r="I18">
        <f ca="1" t="shared" si="8"/>
        <v>0</v>
      </c>
      <c r="J18" s="353" t="s">
        <v>103</v>
      </c>
      <c r="K18" s="138" t="str">
        <f ca="1" t="shared" si="9"/>
        <v>2.3.</v>
      </c>
      <c r="L18" s="354" t="s">
        <v>236</v>
      </c>
      <c r="M18" s="354" t="s">
        <v>248</v>
      </c>
      <c r="N18" s="355" t="s">
        <v>277</v>
      </c>
      <c r="O18" s="356" t="s">
        <v>295</v>
      </c>
      <c r="P18" s="357">
        <f ca="1">OFFSET(PLQ!$E$12,ROW($P18)-ROW(P$12),0)</f>
        <v>75.5</v>
      </c>
      <c r="Q18" s="196"/>
      <c r="R18" s="199" t="s">
        <v>7</v>
      </c>
      <c r="S18" s="103">
        <f t="shared" si="10"/>
        <v>0</v>
      </c>
      <c r="T18" s="83">
        <f ca="1" t="shared" si="11"/>
        <v>0</v>
      </c>
      <c r="U18" s="9" t="str">
        <f ca="1" t="shared" si="12"/>
        <v>SEM VALOR</v>
      </c>
      <c r="V18" s="1" t="str">
        <f ca="1">IF(OR($A18=0,$A18="S",$A18&gt;CFF!$A$9),"",MAX(V$12:OFFSET(V18,-1,0))+1)</f>
        <v/>
      </c>
      <c r="W18" s="4" t="str">
        <f t="shared" si="13"/>
        <v>SINAPI-93382</v>
      </c>
      <c r="X18" s="1">
        <f ca="1" t="shared" si="14"/>
        <v>10589</v>
      </c>
      <c r="Y18" s="103">
        <v>30.13</v>
      </c>
      <c r="Z18" s="113">
        <f ca="1">ROUND(IF(ISNUMBER(R18),R18,IF(LEFT(R18,3)="BDI",HLOOKUP(R18,DADOS!$T$37:$X$38,2,FALSE),0)),15-11*$X$5)</f>
        <v>0.2639</v>
      </c>
      <c r="AA18" s="1"/>
    </row>
    <row r="19" spans="1:27" ht="25.85">
      <c r="A19" t="str">
        <f t="shared" si="0"/>
        <v>S</v>
      </c>
      <c r="B19">
        <f t="shared" si="1"/>
        <v>0</v>
      </c>
      <c r="C19">
        <f ca="1" t="shared" si="2"/>
        <v>2</v>
      </c>
      <c r="D19">
        <f ca="1" t="shared" si="3"/>
        <v>0</v>
      </c>
      <c r="E19">
        <f ca="1" t="shared" si="4"/>
        <v>0</v>
      </c>
      <c r="F19">
        <f ca="1" t="shared" si="5"/>
        <v>0</v>
      </c>
      <c r="G19">
        <f ca="1" t="shared" si="6"/>
        <v>4</v>
      </c>
      <c r="H19">
        <f ca="1" t="shared" si="7"/>
        <v>0</v>
      </c>
      <c r="I19">
        <f ca="1" t="shared" si="8"/>
        <v>0</v>
      </c>
      <c r="J19" s="353" t="s">
        <v>103</v>
      </c>
      <c r="K19" s="138" t="str">
        <f ca="1" t="shared" si="9"/>
        <v>2.4.</v>
      </c>
      <c r="L19" s="354" t="s">
        <v>236</v>
      </c>
      <c r="M19" s="354" t="s">
        <v>271</v>
      </c>
      <c r="N19" s="355" t="s">
        <v>278</v>
      </c>
      <c r="O19" s="356" t="s">
        <v>294</v>
      </c>
      <c r="P19" s="357">
        <f ca="1">OFFSET(PLQ!$E$12,ROW($P19)-ROW(P$12),0)</f>
        <v>90.7</v>
      </c>
      <c r="Q19" s="196"/>
      <c r="R19" s="199" t="s">
        <v>7</v>
      </c>
      <c r="S19" s="103">
        <f t="shared" si="10"/>
        <v>0</v>
      </c>
      <c r="T19" s="83">
        <f ca="1" t="shared" si="11"/>
        <v>0</v>
      </c>
      <c r="U19" s="9" t="str">
        <f ca="1" t="shared" si="12"/>
        <v>SEM VALOR</v>
      </c>
      <c r="V19" s="1" t="str">
        <f ca="1">IF(OR($A19=0,$A19="S",$A19&gt;CFF!$A$9),"",MAX(V$12:OFFSET(V19,-1,0))+1)</f>
        <v/>
      </c>
      <c r="W19" s="4" t="str">
        <f t="shared" si="13"/>
        <v>SINAPI-92210</v>
      </c>
      <c r="X19" s="1">
        <f ca="1" t="shared" si="14"/>
        <v>5854</v>
      </c>
      <c r="Y19" s="103">
        <v>121.22</v>
      </c>
      <c r="Z19" s="113">
        <f ca="1">ROUND(IF(ISNUMBER(R19),R19,IF(LEFT(R19,3)="BDI",HLOOKUP(R19,DADOS!$T$37:$X$38,2,FALSE),0)),15-11*$X$5)</f>
        <v>0.2639</v>
      </c>
      <c r="AA19" s="1"/>
    </row>
    <row r="20" spans="1:27" ht="13.6">
      <c r="A20" t="str">
        <f t="shared" si="0"/>
        <v>S</v>
      </c>
      <c r="B20">
        <f t="shared" si="1"/>
        <v>0</v>
      </c>
      <c r="C20">
        <f ca="1" t="shared" si="2"/>
        <v>2</v>
      </c>
      <c r="D20">
        <f ca="1" t="shared" si="3"/>
        <v>0</v>
      </c>
      <c r="E20">
        <f ca="1" t="shared" si="4"/>
        <v>0</v>
      </c>
      <c r="F20">
        <f ca="1" t="shared" si="5"/>
        <v>0</v>
      </c>
      <c r="G20">
        <f ca="1" t="shared" si="6"/>
        <v>5</v>
      </c>
      <c r="H20">
        <f ca="1" t="shared" si="7"/>
        <v>0</v>
      </c>
      <c r="I20">
        <f ca="1" t="shared" si="8"/>
        <v>0</v>
      </c>
      <c r="J20" s="353" t="s">
        <v>103</v>
      </c>
      <c r="K20" s="138" t="str">
        <f ca="1" t="shared" si="9"/>
        <v>2.5.</v>
      </c>
      <c r="L20" s="354" t="s">
        <v>247</v>
      </c>
      <c r="M20" s="354" t="s">
        <v>262</v>
      </c>
      <c r="N20" s="355" t="s">
        <v>279</v>
      </c>
      <c r="O20" s="356" t="s">
        <v>294</v>
      </c>
      <c r="P20" s="357">
        <f ca="1">OFFSET(PLQ!$E$12,ROW($P20)-ROW(P$12),0)</f>
        <v>56.07</v>
      </c>
      <c r="Q20" s="196"/>
      <c r="R20" s="199" t="s">
        <v>7</v>
      </c>
      <c r="S20" s="103">
        <f t="shared" si="10"/>
        <v>0</v>
      </c>
      <c r="T20" s="83">
        <f ca="1" t="shared" si="11"/>
        <v>0</v>
      </c>
      <c r="U20" s="9" t="str">
        <f ca="1" t="shared" si="12"/>
        <v>SEM VALOR</v>
      </c>
      <c r="V20" s="1" t="str">
        <f ca="1">IF(OR($A20=0,$A20="S",$A20&gt;CFF!$A$9),"",MAX(V$12:OFFSET(V20,-1,0))+1)</f>
        <v/>
      </c>
      <c r="W20" s="4" t="str">
        <f t="shared" si="13"/>
        <v>SINAPI-I-7745</v>
      </c>
      <c r="X20" s="1">
        <f ca="1" t="shared" si="14"/>
        <v>4925</v>
      </c>
      <c r="Y20" s="103">
        <v>70.9</v>
      </c>
      <c r="Z20" s="113">
        <f ca="1">ROUND(IF(ISNUMBER(R20),R20,IF(LEFT(R20,3)="BDI",HLOOKUP(R20,DADOS!$T$37:$X$38,2,FALSE),0)),15-11*$X$5)</f>
        <v>0.2639</v>
      </c>
      <c r="AA20" s="1"/>
    </row>
    <row r="21" spans="1:27" ht="38.75">
      <c r="A21" t="str">
        <f>CHOOSE(1+LOG(1+2*(J21="Meta")+4*(J21="Nível 2")+8*(J21="Nível 3")+16*(J21="Nível 4")+32*(J21="Serviço"),2),0,1,2,3,4,"S")</f>
        <v>S</v>
      </c>
      <c r="B21">
        <f>IF(OR(A21="S",A21=0),0,IF(ISERROR(I21),H21,SMALL(H21:I21,1)))</f>
        <v>0</v>
      </c>
      <c r="C21">
        <f ca="1">IF($A21=1,OFFSET(C21,-1,0)+1,OFFSET(C21,-1,0))</f>
        <v>2</v>
      </c>
      <c r="D21">
        <f ca="1">IF($A21=1,0,IF($A21=2,OFFSET(D21,-1,0)+1,OFFSET(D21,-1,0)))</f>
        <v>0</v>
      </c>
      <c r="E21">
        <f ca="1">IF(AND($A21&lt;=2,$A21&lt;&gt;0),0,IF($A21=3,OFFSET(E21,-1,0)+1,OFFSET(E21,-1,0)))</f>
        <v>0</v>
      </c>
      <c r="F21">
        <f ca="1">IF(AND($A21&lt;=3,$A21&lt;&gt;0),0,IF($A21=4,OFFSET(F21,-1,0)+1,OFFSET(F21,-1,0)))</f>
        <v>0</v>
      </c>
      <c r="G21">
        <f ca="1">IF(AND($A21&lt;=4,$A21&lt;&gt;0),0,IF($A21="S",OFFSET(G21,-1,0)+1,OFFSET(G21,-1,0)))</f>
        <v>6</v>
      </c>
      <c r="H21">
        <f ca="1" t="shared" si="7"/>
        <v>0</v>
      </c>
      <c r="I21">
        <f ca="1" t="shared" si="8"/>
        <v>0</v>
      </c>
      <c r="J21" s="353" t="s">
        <v>103</v>
      </c>
      <c r="K21" s="138" t="str">
        <f ca="1">IF($A21=0,"-",CONCATENATE(C21&amp;".",IF(AND($A$5&gt;=2,$A21&gt;=2),D21&amp;".",""),IF(AND($A$5&gt;=3,$A21&gt;=3),E21&amp;".",""),IF(AND($A$5&gt;=4,$A21&gt;=4),F21&amp;".",""),IF($A21="S",G21&amp;".","")))</f>
        <v>2.6.</v>
      </c>
      <c r="L21" s="354" t="s">
        <v>236</v>
      </c>
      <c r="M21" s="354" t="s">
        <v>272</v>
      </c>
      <c r="N21" s="355" t="s">
        <v>280</v>
      </c>
      <c r="O21" s="356" t="s">
        <v>294</v>
      </c>
      <c r="P21" s="357">
        <f ca="1">OFFSET(PLQ!$E$12,ROW($P21)-ROW(P$12),0)</f>
        <v>56</v>
      </c>
      <c r="Q21" s="196"/>
      <c r="R21" s="199" t="s">
        <v>7</v>
      </c>
      <c r="S21" s="103">
        <f>IF($A21="S",IF($Q$10="Preço Unitário (R$)",PO.CustoUnitario,ROUND(PO.CustoUnitario*(1+$Z21),15-13*$X$6)),0)</f>
        <v>0</v>
      </c>
      <c r="T21" s="83">
        <f ca="1">IF($A21="S",VTOTAL1,IF($A21=0,0,ROUND(SomaAgrup,15-13*$X$7)))</f>
        <v>0</v>
      </c>
      <c r="U21" s="9" t="str">
        <f ca="1">IF($J21="","",IF($N21="","DESCRIÇÃO",IF(AND($J21="Serviço",$O21=""),"UNIDADE",IF($T21&lt;=0,"SEM VALOR",IF(AND($Y21&lt;&gt;"",$Q21&gt;$Y21),"ACIMA REF.","")))))</f>
        <v>SEM VALOR</v>
      </c>
      <c r="V21" s="1" t="str">
        <f ca="1">IF(OR($A21=0,$A21="S",$A21&gt;CFF!$A$9),"",MAX(V$12:OFFSET(V21,-1,0))+1)</f>
        <v/>
      </c>
      <c r="W21" s="4" t="str">
        <f>IF(AND($J21="Serviço",$M21&lt;&gt;""),IF($L21="",$M21,CONCATENATE($L21,"-",$M21)))</f>
        <v>SINAPI-92809</v>
      </c>
      <c r="X21" s="1">
        <f ca="1">IF(AND(Fonte&lt;&gt;"",Código&lt;&gt;""),MATCH(Fonte&amp;" "&amp;IF(Fonte="sinapi",SUBSTITUTE(SUBSTITUTE(Código,"/00","/"),"/0","/"),Código),INDIRECT("'[Referência "&amp;_XLNM.DATABASE&amp;".xls]Banco'!$a:$a"),0),"X")</f>
        <v>5869</v>
      </c>
      <c r="Y21" s="103">
        <v>48.19</v>
      </c>
      <c r="Z21" s="113">
        <f ca="1">ROUND(IF(ISNUMBER(R21),R21,IF(LEFT(R21,3)="BDI",HLOOKUP(R21,DADOS!$T$37:$X$38,2,FALSE),0)),15-11*$X$5)</f>
        <v>0.2639</v>
      </c>
      <c r="AA21" s="1"/>
    </row>
    <row r="22" spans="1:27" ht="13.6">
      <c r="A22" t="str">
        <f t="shared" si="0"/>
        <v>S</v>
      </c>
      <c r="B22">
        <f t="shared" si="1"/>
        <v>0</v>
      </c>
      <c r="C22">
        <f ca="1" t="shared" si="2"/>
        <v>2</v>
      </c>
      <c r="D22">
        <f ca="1" t="shared" si="3"/>
        <v>0</v>
      </c>
      <c r="E22">
        <f ca="1" t="shared" si="4"/>
        <v>0</v>
      </c>
      <c r="F22">
        <f ca="1" t="shared" si="5"/>
        <v>0</v>
      </c>
      <c r="G22">
        <f ca="1" t="shared" si="6"/>
        <v>7</v>
      </c>
      <c r="H22">
        <f ca="1" t="shared" si="7"/>
        <v>0</v>
      </c>
      <c r="I22">
        <f ca="1" t="shared" si="8"/>
        <v>0</v>
      </c>
      <c r="J22" s="353" t="s">
        <v>103</v>
      </c>
      <c r="K22" s="138" t="str">
        <f ca="1" t="shared" si="9"/>
        <v>2.7.</v>
      </c>
      <c r="L22" s="354" t="s">
        <v>236</v>
      </c>
      <c r="M22" s="354" t="s">
        <v>260</v>
      </c>
      <c r="N22" s="355" t="s">
        <v>269</v>
      </c>
      <c r="O22" s="356" t="s">
        <v>293</v>
      </c>
      <c r="P22" s="357">
        <f ca="1">OFFSET(PLQ!$E$12,ROW($P22)-ROW(P$12),0)</f>
        <v>117.42</v>
      </c>
      <c r="Q22" s="196"/>
      <c r="R22" s="199" t="s">
        <v>7</v>
      </c>
      <c r="S22" s="103">
        <f t="shared" si="10"/>
        <v>0</v>
      </c>
      <c r="T22" s="83">
        <f ca="1" t="shared" si="11"/>
        <v>0</v>
      </c>
      <c r="U22" s="9" t="str">
        <f ca="1" t="shared" si="12"/>
        <v>SEM VALOR</v>
      </c>
      <c r="V22" s="1" t="str">
        <f ca="1">IF(OR($A22=0,$A22="S",$A22&gt;CFF!$A$9),"",MAX(V$12:OFFSET(V22,-1,0))+1)</f>
        <v/>
      </c>
      <c r="W22" s="4" t="str">
        <f t="shared" si="13"/>
        <v>SINAPI-73790/2</v>
      </c>
      <c r="X22" s="1">
        <f ca="1" t="shared" si="14"/>
        <v>10847</v>
      </c>
      <c r="Y22" s="103">
        <v>57.2</v>
      </c>
      <c r="Z22" s="113">
        <f ca="1">ROUND(IF(ISNUMBER(R22),R22,IF(LEFT(R22,3)="BDI",HLOOKUP(R22,DADOS!$T$37:$X$38,2,FALSE),0)),15-11*$X$5)</f>
        <v>0.2639</v>
      </c>
      <c r="AA22" s="1"/>
    </row>
    <row r="23" spans="1:27" ht="13.6">
      <c r="A23" t="str">
        <f t="shared" si="0"/>
        <v>S</v>
      </c>
      <c r="B23">
        <f t="shared" si="1"/>
        <v>0</v>
      </c>
      <c r="C23">
        <f ca="1" t="shared" si="2"/>
        <v>2</v>
      </c>
      <c r="D23">
        <f ca="1" t="shared" si="3"/>
        <v>0</v>
      </c>
      <c r="E23">
        <f ca="1" t="shared" si="4"/>
        <v>0</v>
      </c>
      <c r="F23">
        <f ca="1" t="shared" si="5"/>
        <v>0</v>
      </c>
      <c r="G23">
        <f ca="1" t="shared" si="6"/>
        <v>8</v>
      </c>
      <c r="H23">
        <f ca="1" t="shared" si="7"/>
        <v>0</v>
      </c>
      <c r="I23">
        <f ca="1" t="shared" si="8"/>
        <v>0</v>
      </c>
      <c r="J23" s="353" t="s">
        <v>103</v>
      </c>
      <c r="K23" s="138" t="str">
        <f ca="1" t="shared" si="9"/>
        <v>2.8.</v>
      </c>
      <c r="L23" s="354" t="s">
        <v>246</v>
      </c>
      <c r="M23" s="354" t="s">
        <v>245</v>
      </c>
      <c r="N23" s="355" t="s">
        <v>281</v>
      </c>
      <c r="O23" s="356" t="s">
        <v>296</v>
      </c>
      <c r="P23" s="357">
        <f ca="1">OFFSET(PLQ!$E$12,ROW($P23)-ROW(P$12),0)</f>
        <v>5</v>
      </c>
      <c r="Q23" s="196"/>
      <c r="R23" s="199" t="s">
        <v>7</v>
      </c>
      <c r="S23" s="103">
        <f t="shared" si="10"/>
        <v>0</v>
      </c>
      <c r="T23" s="83">
        <f ca="1" t="shared" si="11"/>
        <v>0</v>
      </c>
      <c r="U23" s="9" t="str">
        <f ca="1" t="shared" si="12"/>
        <v>SEM VALOR</v>
      </c>
      <c r="V23" s="1" t="str">
        <f ca="1">IF(OR($A23=0,$A23="S",$A23&gt;CFF!$A$9),"",MAX(V$12:OFFSET(V23,-1,0))+1)</f>
        <v/>
      </c>
      <c r="W23" s="4" t="str">
        <f t="shared" si="13"/>
        <v>COMPOSIÇÃO-3</v>
      </c>
      <c r="X23" s="1">
        <f ca="1" t="shared" si="14"/>
        <v>9</v>
      </c>
      <c r="Y23" s="103">
        <v>1398.72</v>
      </c>
      <c r="Z23" s="113">
        <f ca="1">ROUND(IF(ISNUMBER(R23),R23,IF(LEFT(R23,3)="BDI",HLOOKUP(R23,DADOS!$T$37:$X$38,2,FALSE),0)),15-11*$X$5)</f>
        <v>0.2639</v>
      </c>
      <c r="AA23" s="1"/>
    </row>
    <row r="24" spans="1:27" ht="13.6">
      <c r="A24">
        <f t="shared" si="0"/>
        <v>1</v>
      </c>
      <c r="B24">
        <f ca="1" t="shared" si="1"/>
        <v>9</v>
      </c>
      <c r="C24">
        <f ca="1" t="shared" si="2"/>
        <v>3</v>
      </c>
      <c r="D24">
        <f ca="1" t="shared" si="3"/>
        <v>0</v>
      </c>
      <c r="E24">
        <f ca="1" t="shared" si="4"/>
        <v>0</v>
      </c>
      <c r="F24">
        <f ca="1" t="shared" si="5"/>
        <v>0</v>
      </c>
      <c r="G24">
        <f ca="1" t="shared" si="6"/>
        <v>0</v>
      </c>
      <c r="H24">
        <f ca="1" t="shared" si="7"/>
        <v>16</v>
      </c>
      <c r="I24">
        <f ca="1" t="shared" si="8"/>
        <v>9</v>
      </c>
      <c r="J24" s="353" t="s">
        <v>99</v>
      </c>
      <c r="K24" s="138" t="str">
        <f ca="1" t="shared" si="9"/>
        <v>3.</v>
      </c>
      <c r="L24" s="354"/>
      <c r="M24" s="354"/>
      <c r="N24" s="355" t="s">
        <v>250</v>
      </c>
      <c r="O24" s="356" t="s">
        <v>106</v>
      </c>
      <c r="P24" s="357">
        <f ca="1">OFFSET(PLQ!$E$12,ROW($P24)-ROW(P$12),0)</f>
        <v>0</v>
      </c>
      <c r="Q24" s="196"/>
      <c r="R24" s="199" t="s">
        <v>7</v>
      </c>
      <c r="S24" s="103">
        <f t="shared" si="10"/>
        <v>0</v>
      </c>
      <c r="T24" s="83">
        <f ca="1" t="shared" si="11"/>
        <v>0</v>
      </c>
      <c r="U24" s="9" t="str">
        <f ca="1" t="shared" si="12"/>
        <v>SEM VALOR</v>
      </c>
      <c r="V24" s="1">
        <f ca="1">IF(OR($A24=0,$A24="S",$A24&gt;CFF!$A$9),"",MAX(V$12:OFFSET(V24,-1,0))+1)</f>
        <v>3</v>
      </c>
      <c r="W24" s="4" t="b">
        <f t="shared" si="13"/>
        <v>0</v>
      </c>
      <c r="X24" s="1" t="str">
        <f ca="1" t="shared" si="14"/>
        <v>X</v>
      </c>
      <c r="Y24" s="103">
        <v>0</v>
      </c>
      <c r="Z24" s="113">
        <f ca="1">ROUND(IF(ISNUMBER(R24),R24,IF(LEFT(R24,3)="BDI",HLOOKUP(R24,DADOS!$T$37:$X$38,2,FALSE),0)),15-11*$X$5)</f>
        <v>0.2639</v>
      </c>
      <c r="AA24" s="1"/>
    </row>
    <row r="25" spans="1:27" ht="13.6">
      <c r="A25" t="str">
        <f t="shared" si="0"/>
        <v>S</v>
      </c>
      <c r="B25">
        <f t="shared" si="1"/>
        <v>0</v>
      </c>
      <c r="C25">
        <f ca="1" t="shared" si="2"/>
        <v>3</v>
      </c>
      <c r="D25">
        <f ca="1" t="shared" si="3"/>
        <v>0</v>
      </c>
      <c r="E25">
        <f ca="1" t="shared" si="4"/>
        <v>0</v>
      </c>
      <c r="F25">
        <f ca="1" t="shared" si="5"/>
        <v>0</v>
      </c>
      <c r="G25">
        <f ca="1" t="shared" si="6"/>
        <v>1</v>
      </c>
      <c r="H25">
        <f ca="1" t="shared" si="7"/>
        <v>0</v>
      </c>
      <c r="I25">
        <f ca="1" t="shared" si="8"/>
        <v>0</v>
      </c>
      <c r="J25" s="353" t="s">
        <v>103</v>
      </c>
      <c r="K25" s="138" t="str">
        <f ca="1" t="shared" si="9"/>
        <v>3.1.</v>
      </c>
      <c r="L25" s="354" t="s">
        <v>236</v>
      </c>
      <c r="M25" s="354" t="s">
        <v>252</v>
      </c>
      <c r="N25" s="355" t="s">
        <v>282</v>
      </c>
      <c r="O25" s="356" t="s">
        <v>293</v>
      </c>
      <c r="P25" s="357">
        <f ca="1">OFFSET(PLQ!$E$12,ROW($P25)-ROW(P$12),0)</f>
        <v>3347.9</v>
      </c>
      <c r="Q25" s="196"/>
      <c r="R25" s="199" t="s">
        <v>7</v>
      </c>
      <c r="S25" s="103">
        <f t="shared" si="10"/>
        <v>0</v>
      </c>
      <c r="T25" s="83">
        <f ca="1" t="shared" si="11"/>
        <v>0</v>
      </c>
      <c r="U25" s="9" t="str">
        <f ca="1" t="shared" si="12"/>
        <v>SEM VALOR</v>
      </c>
      <c r="V25" s="1" t="str">
        <f ca="1">IF(OR($A25=0,$A25="S",$A25&gt;CFF!$A$9),"",MAX(V$12:OFFSET(V25,-1,0))+1)</f>
        <v/>
      </c>
      <c r="W25" s="4" t="str">
        <f t="shared" si="13"/>
        <v>SINAPI-72942</v>
      </c>
      <c r="X25" s="1">
        <f ca="1" t="shared" si="14"/>
        <v>10874</v>
      </c>
      <c r="Y25" s="103">
        <v>1.83</v>
      </c>
      <c r="Z25" s="113">
        <f ca="1">ROUND(IF(ISNUMBER(R25),R25,IF(LEFT(R25,3)="BDI",HLOOKUP(R25,DADOS!$T$37:$X$38,2,FALSE),0)),15-11*$X$5)</f>
        <v>0.2639</v>
      </c>
      <c r="AA25" s="1"/>
    </row>
    <row r="26" spans="1:27" ht="25.85">
      <c r="A26" t="str">
        <f>CHOOSE(1+LOG(1+2*(J26="Meta")+4*(J26="Nível 2")+8*(J26="Nível 3")+16*(J26="Nível 4")+32*(J26="Serviço"),2),0,1,2,3,4,"S")</f>
        <v>S</v>
      </c>
      <c r="B26">
        <f>IF(OR(A26="S",A26=0),0,IF(ISERROR(I26),H26,SMALL(H26:I26,1)))</f>
        <v>0</v>
      </c>
      <c r="C26">
        <f ca="1">IF($A26=1,OFFSET(C26,-1,0)+1,OFFSET(C26,-1,0))</f>
        <v>3</v>
      </c>
      <c r="D26">
        <f ca="1">IF($A26=1,0,IF($A26=2,OFFSET(D26,-1,0)+1,OFFSET(D26,-1,0)))</f>
        <v>0</v>
      </c>
      <c r="E26">
        <f ca="1">IF(AND($A26&lt;=2,$A26&lt;&gt;0),0,IF($A26=3,OFFSET(E26,-1,0)+1,OFFSET(E26,-1,0)))</f>
        <v>0</v>
      </c>
      <c r="F26">
        <f ca="1">IF(AND($A26&lt;=3,$A26&lt;&gt;0),0,IF($A26=4,OFFSET(F26,-1,0)+1,OFFSET(F26,-1,0)))</f>
        <v>0</v>
      </c>
      <c r="G26">
        <f ca="1">IF(AND($A26&lt;=4,$A26&lt;&gt;0),0,IF($A26="S",OFFSET(G26,-1,0)+1,OFFSET(G26,-1,0)))</f>
        <v>2</v>
      </c>
      <c r="H26">
        <f ca="1" t="shared" si="7"/>
        <v>0</v>
      </c>
      <c r="I26">
        <f ca="1" t="shared" si="8"/>
        <v>0</v>
      </c>
      <c r="J26" s="353" t="s">
        <v>103</v>
      </c>
      <c r="K26" s="138" t="str">
        <f ca="1">IF($A26=0,"-",CONCATENATE(C26&amp;".",IF(AND($A$5&gt;=2,$A26&gt;=2),D26&amp;".",""),IF(AND($A$5&gt;=3,$A26&gt;=3),E26&amp;".",""),IF(AND($A$5&gt;=4,$A26&gt;=4),F26&amp;".",""),IF($A26="S",G26&amp;".","")))</f>
        <v>3.2.</v>
      </c>
      <c r="L26" s="354" t="s">
        <v>236</v>
      </c>
      <c r="M26" s="354" t="s">
        <v>249</v>
      </c>
      <c r="N26" s="355" t="s">
        <v>283</v>
      </c>
      <c r="O26" s="356" t="s">
        <v>295</v>
      </c>
      <c r="P26" s="357">
        <f ca="1">OFFSET(PLQ!$E$12,ROW($P26)-ROW(P$12),0)</f>
        <v>66.96</v>
      </c>
      <c r="Q26" s="196"/>
      <c r="R26" s="199" t="s">
        <v>7</v>
      </c>
      <c r="S26" s="103">
        <f>IF($A26="S",IF($Q$10="Preço Unitário (R$)",PO.CustoUnitario,ROUND(PO.CustoUnitario*(1+$Z26),15-13*$X$6)),0)</f>
        <v>0</v>
      </c>
      <c r="T26" s="83">
        <f ca="1">IF($A26="S",VTOTAL1,IF($A26=0,0,ROUND(SomaAgrup,15-13*$X$7)))</f>
        <v>0</v>
      </c>
      <c r="U26" s="9" t="str">
        <f ca="1">IF($J26="","",IF($N26="","DESCRIÇÃO",IF(AND($J26="Serviço",$O26=""),"UNIDADE",IF($T26&lt;=0,"SEM VALOR",IF(AND($Y26&lt;&gt;"",$Q26&gt;$Y26),"ACIMA REF.","")))))</f>
        <v>SEM VALOR</v>
      </c>
      <c r="V26" s="1" t="str">
        <f ca="1">IF(OR($A26=0,$A26="S",$A26&gt;CFF!$A$9),"",MAX(V$12:OFFSET(V26,-1,0))+1)</f>
        <v/>
      </c>
      <c r="W26" s="4" t="str">
        <f>IF(AND($J26="Serviço",$M26&lt;&gt;""),IF($L26="",$M26,CONCATENATE($L26,"-",$M26)))</f>
        <v>SINAPI-96396</v>
      </c>
      <c r="X26" s="1">
        <f ca="1">IF(AND(Fonte&lt;&gt;"",Código&lt;&gt;""),MATCH(Fonte&amp;" "&amp;IF(Fonte="sinapi",SUBSTITUTE(SUBSTITUTE(Código,"/00","/"),"/0","/"),Código),INDIRECT("'[Referência "&amp;_XLNM.DATABASE&amp;".xls]Banco'!$a:$a"),0),"X")</f>
        <v>10866</v>
      </c>
      <c r="Y26" s="103">
        <v>103.32</v>
      </c>
      <c r="Z26" s="113">
        <f ca="1">ROUND(IF(ISNUMBER(R26),R26,IF(LEFT(R26,3)="BDI",HLOOKUP(R26,DADOS!$T$37:$X$38,2,FALSE),0)),15-11*$X$5)</f>
        <v>0.2639</v>
      </c>
      <c r="AA26" s="1"/>
    </row>
    <row r="27" spans="1:27" ht="13.6">
      <c r="A27" t="str">
        <f t="shared" si="0"/>
        <v>S</v>
      </c>
      <c r="B27">
        <f t="shared" si="1"/>
        <v>0</v>
      </c>
      <c r="C27">
        <f ca="1" t="shared" si="2"/>
        <v>3</v>
      </c>
      <c r="D27">
        <f ca="1" t="shared" si="3"/>
        <v>0</v>
      </c>
      <c r="E27">
        <f ca="1" t="shared" si="4"/>
        <v>0</v>
      </c>
      <c r="F27">
        <f ca="1" t="shared" si="5"/>
        <v>0</v>
      </c>
      <c r="G27">
        <f ca="1" t="shared" si="6"/>
        <v>3</v>
      </c>
      <c r="H27">
        <f ca="1" t="shared" si="7"/>
        <v>0</v>
      </c>
      <c r="I27">
        <f ca="1" t="shared" si="8"/>
        <v>0</v>
      </c>
      <c r="J27" s="353" t="s">
        <v>103</v>
      </c>
      <c r="K27" s="138" t="str">
        <f ca="1" t="shared" si="9"/>
        <v>3.3.</v>
      </c>
      <c r="L27" s="354" t="s">
        <v>246</v>
      </c>
      <c r="M27" s="354" t="s">
        <v>244</v>
      </c>
      <c r="N27" s="355" t="s">
        <v>284</v>
      </c>
      <c r="O27" s="356" t="s">
        <v>297</v>
      </c>
      <c r="P27" s="357">
        <f ca="1">OFFSET(PLQ!$E$12,ROW($P27)-ROW(P$12),0)</f>
        <v>133.92</v>
      </c>
      <c r="Q27" s="196"/>
      <c r="R27" s="199" t="s">
        <v>7</v>
      </c>
      <c r="S27" s="103">
        <f t="shared" si="10"/>
        <v>0</v>
      </c>
      <c r="T27" s="83">
        <f ca="1" t="shared" si="11"/>
        <v>0</v>
      </c>
      <c r="U27" s="9" t="str">
        <f ca="1" t="shared" si="12"/>
        <v>SEM VALOR</v>
      </c>
      <c r="V27" s="1" t="str">
        <f ca="1">IF(OR($A27=0,$A27="S",$A27&gt;CFF!$A$9),"",MAX(V$12:OFFSET(V27,-1,0))+1)</f>
        <v/>
      </c>
      <c r="W27" s="4" t="str">
        <f t="shared" si="13"/>
        <v>COMPOSIÇÃO-2</v>
      </c>
      <c r="X27" s="1">
        <f ca="1" t="shared" si="14"/>
        <v>8</v>
      </c>
      <c r="Y27" s="103">
        <v>760.55</v>
      </c>
      <c r="Z27" s="113">
        <f ca="1">ROUND(IF(ISNUMBER(R27),R27,IF(LEFT(R27,3)="BDI",HLOOKUP(R27,DADOS!$T$37:$X$38,2,FALSE),0)),15-11*$X$5)</f>
        <v>0.2639</v>
      </c>
      <c r="AA27" s="1"/>
    </row>
    <row r="28" spans="1:27" ht="25.85">
      <c r="A28" t="str">
        <f t="shared" si="0"/>
        <v>S</v>
      </c>
      <c r="B28">
        <f t="shared" si="1"/>
        <v>0</v>
      </c>
      <c r="C28">
        <f ca="1" t="shared" si="2"/>
        <v>3</v>
      </c>
      <c r="D28">
        <f ca="1" t="shared" si="3"/>
        <v>0</v>
      </c>
      <c r="E28">
        <f ca="1" t="shared" si="4"/>
        <v>0</v>
      </c>
      <c r="F28">
        <f ca="1" t="shared" si="5"/>
        <v>0</v>
      </c>
      <c r="G28">
        <f ca="1" t="shared" si="6"/>
        <v>4</v>
      </c>
      <c r="H28">
        <f ca="1" t="shared" si="7"/>
        <v>0</v>
      </c>
      <c r="I28">
        <f ca="1" t="shared" si="8"/>
        <v>0</v>
      </c>
      <c r="J28" s="353" t="s">
        <v>103</v>
      </c>
      <c r="K28" s="138" t="str">
        <f ca="1" t="shared" si="9"/>
        <v>3.4.</v>
      </c>
      <c r="L28" s="354" t="s">
        <v>236</v>
      </c>
      <c r="M28" s="354" t="s">
        <v>251</v>
      </c>
      <c r="N28" s="355" t="s">
        <v>285</v>
      </c>
      <c r="O28" s="356" t="s">
        <v>298</v>
      </c>
      <c r="P28" s="357">
        <f ca="1">OFFSET(PLQ!$E$12,ROW($P28)-ROW(P$12),0)</f>
        <v>3763.04</v>
      </c>
      <c r="Q28" s="196"/>
      <c r="R28" s="199" t="s">
        <v>7</v>
      </c>
      <c r="S28" s="103">
        <f t="shared" si="10"/>
        <v>0</v>
      </c>
      <c r="T28" s="83">
        <f ca="1" t="shared" si="11"/>
        <v>0</v>
      </c>
      <c r="U28" s="9" t="str">
        <f ca="1" t="shared" si="12"/>
        <v>SEM VALOR</v>
      </c>
      <c r="V28" s="1" t="str">
        <f ca="1">IF(OR($A28=0,$A28="S",$A28&gt;CFF!$A$9),"",MAX(V$12:OFFSET(V28,-1,0))+1)</f>
        <v/>
      </c>
      <c r="W28" s="4" t="str">
        <f t="shared" si="13"/>
        <v>SINAPI-93590</v>
      </c>
      <c r="X28" s="1">
        <f ca="1" t="shared" si="14"/>
        <v>11908</v>
      </c>
      <c r="Y28" s="103">
        <v>1.02</v>
      </c>
      <c r="Z28" s="113">
        <f ca="1">ROUND(IF(ISNUMBER(R28),R28,IF(LEFT(R28,3)="BDI",HLOOKUP(R28,DADOS!$T$37:$X$38,2,FALSE),0)),15-11*$X$5)</f>
        <v>0.2639</v>
      </c>
      <c r="AA28" s="1"/>
    </row>
    <row r="29" spans="1:27" ht="13.6">
      <c r="A29" t="str">
        <f t="shared" si="0"/>
        <v>S</v>
      </c>
      <c r="B29">
        <f t="shared" si="1"/>
        <v>0</v>
      </c>
      <c r="C29">
        <f ca="1" t="shared" si="2"/>
        <v>3</v>
      </c>
      <c r="D29">
        <f ca="1" t="shared" si="3"/>
        <v>0</v>
      </c>
      <c r="E29">
        <f ca="1" t="shared" si="4"/>
        <v>0</v>
      </c>
      <c r="F29">
        <f ca="1" t="shared" si="5"/>
        <v>0</v>
      </c>
      <c r="G29">
        <f ca="1" t="shared" si="6"/>
        <v>5</v>
      </c>
      <c r="H29">
        <f ca="1" t="shared" si="7"/>
        <v>0</v>
      </c>
      <c r="I29">
        <f ca="1" t="shared" si="8"/>
        <v>0</v>
      </c>
      <c r="J29" s="353" t="s">
        <v>103</v>
      </c>
      <c r="K29" s="138" t="str">
        <f ca="1" t="shared" si="9"/>
        <v>3.5.</v>
      </c>
      <c r="L29" s="354" t="s">
        <v>236</v>
      </c>
      <c r="M29" s="354" t="s">
        <v>252</v>
      </c>
      <c r="N29" s="355" t="s">
        <v>282</v>
      </c>
      <c r="O29" s="356" t="s">
        <v>293</v>
      </c>
      <c r="P29" s="357">
        <f ca="1">OFFSET(PLQ!$E$12,ROW($P29)-ROW(P$12),0)</f>
        <v>3347.9</v>
      </c>
      <c r="Q29" s="196"/>
      <c r="R29" s="199" t="s">
        <v>7</v>
      </c>
      <c r="S29" s="103">
        <f t="shared" si="10"/>
        <v>0</v>
      </c>
      <c r="T29" s="83">
        <f ca="1" t="shared" si="11"/>
        <v>0</v>
      </c>
      <c r="U29" s="9" t="str">
        <f ca="1" t="shared" si="12"/>
        <v>SEM VALOR</v>
      </c>
      <c r="V29" s="1" t="str">
        <f ca="1">IF(OR($A29=0,$A29="S",$A29&gt;CFF!$A$9),"",MAX(V$12:OFFSET(V29,-1,0))+1)</f>
        <v/>
      </c>
      <c r="W29" s="4" t="str">
        <f t="shared" si="13"/>
        <v>SINAPI-72942</v>
      </c>
      <c r="X29" s="1">
        <f ca="1" t="shared" si="14"/>
        <v>10874</v>
      </c>
      <c r="Y29" s="103">
        <v>1.83</v>
      </c>
      <c r="Z29" s="113">
        <f ca="1">ROUND(IF(ISNUMBER(R29),R29,IF(LEFT(R29,3)="BDI",HLOOKUP(R29,DADOS!$T$37:$X$38,2,FALSE),0)),15-11*$X$5)</f>
        <v>0.2639</v>
      </c>
      <c r="AA29" s="1"/>
    </row>
    <row r="30" spans="1:27" ht="13.6">
      <c r="A30" t="str">
        <f t="shared" si="0"/>
        <v>S</v>
      </c>
      <c r="B30">
        <f t="shared" si="1"/>
        <v>0</v>
      </c>
      <c r="C30">
        <f ca="1" t="shared" si="2"/>
        <v>3</v>
      </c>
      <c r="D30">
        <f ca="1" t="shared" si="3"/>
        <v>0</v>
      </c>
      <c r="E30">
        <f ca="1" t="shared" si="4"/>
        <v>0</v>
      </c>
      <c r="F30">
        <f ca="1" t="shared" si="5"/>
        <v>0</v>
      </c>
      <c r="G30">
        <f ca="1" t="shared" si="6"/>
        <v>6</v>
      </c>
      <c r="H30">
        <f ca="1" t="shared" si="7"/>
        <v>0</v>
      </c>
      <c r="I30">
        <f ca="1" t="shared" si="8"/>
        <v>0</v>
      </c>
      <c r="J30" s="353" t="s">
        <v>103</v>
      </c>
      <c r="K30" s="138" t="str">
        <f ca="1" t="shared" si="9"/>
        <v>3.6.</v>
      </c>
      <c r="L30" s="354" t="s">
        <v>246</v>
      </c>
      <c r="M30" s="354" t="s">
        <v>268</v>
      </c>
      <c r="N30" s="355" t="s">
        <v>286</v>
      </c>
      <c r="O30" s="356" t="s">
        <v>297</v>
      </c>
      <c r="P30" s="357">
        <f ca="1">OFFSET(PLQ!$E$12,ROW($P30)-ROW(P$12),0)</f>
        <v>100.44</v>
      </c>
      <c r="Q30" s="196"/>
      <c r="R30" s="199" t="s">
        <v>7</v>
      </c>
      <c r="S30" s="103">
        <f t="shared" si="10"/>
        <v>0</v>
      </c>
      <c r="T30" s="83">
        <f ca="1" t="shared" si="11"/>
        <v>0</v>
      </c>
      <c r="U30" s="9" t="str">
        <f ca="1" t="shared" si="12"/>
        <v>SEM VALOR</v>
      </c>
      <c r="V30" s="1" t="str">
        <f ca="1">IF(OR($A30=0,$A30="S",$A30&gt;CFF!$A$9),"",MAX(V$12:OFFSET(V30,-1,0))+1)</f>
        <v/>
      </c>
      <c r="W30" s="4" t="str">
        <f t="shared" si="13"/>
        <v>COMPOSIÇÃO-5</v>
      </c>
      <c r="X30" s="1">
        <f ca="1" t="shared" si="14"/>
        <v>11</v>
      </c>
      <c r="Y30" s="103">
        <v>976.45</v>
      </c>
      <c r="Z30" s="113">
        <f ca="1">ROUND(IF(ISNUMBER(R30),R30,IF(LEFT(R30,3)="BDI",HLOOKUP(R30,DADOS!$T$37:$X$38,2,FALSE),0)),15-11*$X$5)</f>
        <v>0.2639</v>
      </c>
      <c r="AA30" s="1"/>
    </row>
    <row r="31" spans="1:27" ht="25.85">
      <c r="A31" t="str">
        <f t="shared" si="0"/>
        <v>S</v>
      </c>
      <c r="B31">
        <f t="shared" si="1"/>
        <v>0</v>
      </c>
      <c r="C31">
        <f ca="1" t="shared" si="2"/>
        <v>3</v>
      </c>
      <c r="D31">
        <f ca="1" t="shared" si="3"/>
        <v>0</v>
      </c>
      <c r="E31">
        <f ca="1" t="shared" si="4"/>
        <v>0</v>
      </c>
      <c r="F31">
        <f ca="1" t="shared" si="5"/>
        <v>0</v>
      </c>
      <c r="G31">
        <f ca="1" t="shared" si="6"/>
        <v>7</v>
      </c>
      <c r="H31">
        <f ca="1" t="shared" si="7"/>
        <v>0</v>
      </c>
      <c r="I31">
        <f ca="1" t="shared" si="8"/>
        <v>0</v>
      </c>
      <c r="J31" s="353" t="s">
        <v>103</v>
      </c>
      <c r="K31" s="138" t="str">
        <f ca="1" t="shared" si="9"/>
        <v>3.7.</v>
      </c>
      <c r="L31" s="354" t="s">
        <v>236</v>
      </c>
      <c r="M31" s="354" t="s">
        <v>251</v>
      </c>
      <c r="N31" s="355" t="s">
        <v>285</v>
      </c>
      <c r="O31" s="356" t="s">
        <v>298</v>
      </c>
      <c r="P31" s="357">
        <f ca="1">OFFSET(PLQ!$E$12,ROW($P31)-ROW(P$12),0)</f>
        <v>2822.28</v>
      </c>
      <c r="Q31" s="196"/>
      <c r="R31" s="199" t="s">
        <v>7</v>
      </c>
      <c r="S31" s="103">
        <f t="shared" si="10"/>
        <v>0</v>
      </c>
      <c r="T31" s="83">
        <f ca="1" t="shared" si="11"/>
        <v>0</v>
      </c>
      <c r="U31" s="9" t="str">
        <f ca="1" t="shared" si="12"/>
        <v>SEM VALOR</v>
      </c>
      <c r="V31" s="1" t="str">
        <f ca="1">IF(OR($A31=0,$A31="S",$A31&gt;CFF!$A$9),"",MAX(V$12:OFFSET(V31,-1,0))+1)</f>
        <v/>
      </c>
      <c r="W31" s="4" t="str">
        <f t="shared" si="13"/>
        <v>SINAPI-93590</v>
      </c>
      <c r="X31" s="1">
        <f ca="1" t="shared" si="14"/>
        <v>11908</v>
      </c>
      <c r="Y31" s="103">
        <v>1.02</v>
      </c>
      <c r="Z31" s="113">
        <f ca="1">ROUND(IF(ISNUMBER(R31),R31,IF(LEFT(R31,3)="BDI",HLOOKUP(R31,DADOS!$T$37:$X$38,2,FALSE),0)),15-11*$X$5)</f>
        <v>0.2639</v>
      </c>
      <c r="AA31" s="1"/>
    </row>
    <row r="32" spans="1:27" ht="13.6">
      <c r="A32" t="str">
        <f>CHOOSE(1+LOG(1+2*(J32="Meta")+4*(J32="Nível 2")+8*(J32="Nível 3")+16*(J32="Nível 4")+32*(J32="Serviço"),2),0,1,2,3,4,"S")</f>
        <v>S</v>
      </c>
      <c r="B32">
        <f>IF(OR(A32="S",A32=0),0,IF(ISERROR(I32),H32,SMALL(H32:I32,1)))</f>
        <v>0</v>
      </c>
      <c r="C32">
        <f ca="1">IF($A32=1,OFFSET(C32,-1,0)+1,OFFSET(C32,-1,0))</f>
        <v>3</v>
      </c>
      <c r="D32">
        <f ca="1">IF($A32=1,0,IF($A32=2,OFFSET(D32,-1,0)+1,OFFSET(D32,-1,0)))</f>
        <v>0</v>
      </c>
      <c r="E32">
        <f ca="1">IF(AND($A32&lt;=2,$A32&lt;&gt;0),0,IF($A32=3,OFFSET(E32,-1,0)+1,OFFSET(E32,-1,0)))</f>
        <v>0</v>
      </c>
      <c r="F32">
        <f ca="1">IF(AND($A32&lt;=3,$A32&lt;&gt;0),0,IF($A32=4,OFFSET(F32,-1,0)+1,OFFSET(F32,-1,0)))</f>
        <v>0</v>
      </c>
      <c r="G32">
        <f ca="1">IF(AND($A32&lt;=4,$A32&lt;&gt;0),0,IF($A32="S",OFFSET(G32,-1,0)+1,OFFSET(G32,-1,0)))</f>
        <v>8</v>
      </c>
      <c r="H32">
        <f ca="1" t="shared" si="7"/>
        <v>0</v>
      </c>
      <c r="I32">
        <f ca="1" t="shared" si="8"/>
        <v>0</v>
      </c>
      <c r="J32" s="353" t="s">
        <v>103</v>
      </c>
      <c r="K32" s="138" t="str">
        <f ca="1">IF($A32=0,"-",CONCATENATE(C32&amp;".",IF(AND($A$5&gt;=2,$A32&gt;=2),D32&amp;".",""),IF(AND($A$5&gt;=3,$A32&gt;=3),E32&amp;".",""),IF(AND($A$5&gt;=4,$A32&gt;=4),F32&amp;".",""),IF($A32="S",G32&amp;".","")))</f>
        <v>3.8.</v>
      </c>
      <c r="L32" s="354" t="s">
        <v>246</v>
      </c>
      <c r="M32" s="354" t="s">
        <v>261</v>
      </c>
      <c r="N32" s="355" t="s">
        <v>287</v>
      </c>
      <c r="O32" s="356" t="s">
        <v>296</v>
      </c>
      <c r="P32" s="357">
        <f ca="1">OFFSET(PLQ!$E$12,ROW($P32)-ROW(P$12),0)</f>
        <v>8</v>
      </c>
      <c r="Q32" s="196"/>
      <c r="R32" s="199" t="s">
        <v>7</v>
      </c>
      <c r="S32" s="103">
        <f>IF($A32="S",IF($Q$10="Preço Unitário (R$)",PO.CustoUnitario,ROUND(PO.CustoUnitario*(1+$Z32),15-13*$X$6)),0)</f>
        <v>0</v>
      </c>
      <c r="T32" s="83">
        <f ca="1">IF($A32="S",VTOTAL1,IF($A32=0,0,ROUND(SomaAgrup,15-13*$X$7)))</f>
        <v>0</v>
      </c>
      <c r="U32" s="9" t="str">
        <f ca="1">IF($J32="","",IF($N32="","DESCRIÇÃO",IF(AND($J32="Serviço",$O32=""),"UNIDADE",IF($T32&lt;=0,"SEM VALOR",IF(AND($Y32&lt;&gt;"",$Q32&gt;$Y32),"ACIMA REF.","")))))</f>
        <v>SEM VALOR</v>
      </c>
      <c r="V32" s="1" t="str">
        <f ca="1">IF(OR($A32=0,$A32="S",$A32&gt;CFF!$A$9),"",MAX(V$12:OFFSET(V32,-1,0))+1)</f>
        <v/>
      </c>
      <c r="W32" s="4" t="str">
        <f>IF(AND($J32="Serviço",$M32&lt;&gt;""),IF($L32="",$M32,CONCATENATE($L32,"-",$M32)))</f>
        <v>COMPOSIÇÃO-4</v>
      </c>
      <c r="X32" s="1">
        <f ca="1">IF(AND(Fonte&lt;&gt;"",Código&lt;&gt;""),MATCH(Fonte&amp;" "&amp;IF(Fonte="sinapi",SUBSTITUTE(SUBSTITUTE(Código,"/00","/"),"/0","/"),Código),INDIRECT("'[Referência "&amp;_XLNM.DATABASE&amp;".xls]Banco'!$a:$a"),0),"X")</f>
        <v>10</v>
      </c>
      <c r="Y32" s="103">
        <v>142.3</v>
      </c>
      <c r="Z32" s="113">
        <f ca="1">ROUND(IF(ISNUMBER(R32),R32,IF(LEFT(R32,3)="BDI",HLOOKUP(R32,DADOS!$T$37:$X$38,2,FALSE),0)),15-11*$X$5)</f>
        <v>0.2639</v>
      </c>
      <c r="AA32" s="1"/>
    </row>
    <row r="33" spans="1:27" ht="13.6">
      <c r="A33">
        <f t="shared" si="0"/>
        <v>1</v>
      </c>
      <c r="B33">
        <f ca="1" t="shared" si="1"/>
        <v>7</v>
      </c>
      <c r="C33">
        <f ca="1" t="shared" si="2"/>
        <v>4</v>
      </c>
      <c r="D33">
        <f ca="1" t="shared" si="3"/>
        <v>0</v>
      </c>
      <c r="E33">
        <f ca="1" t="shared" si="4"/>
        <v>0</v>
      </c>
      <c r="F33">
        <f ca="1" t="shared" si="5"/>
        <v>0</v>
      </c>
      <c r="G33">
        <f ca="1" t="shared" si="6"/>
        <v>0</v>
      </c>
      <c r="H33">
        <f ca="1" t="shared" si="7"/>
        <v>7</v>
      </c>
      <c r="I33" t="e">
        <f ca="1" t="shared" si="8"/>
        <v>#N/A</v>
      </c>
      <c r="J33" s="353" t="s">
        <v>99</v>
      </c>
      <c r="K33" s="138" t="str">
        <f ca="1" t="shared" si="9"/>
        <v>4.</v>
      </c>
      <c r="L33" s="354"/>
      <c r="M33" s="354"/>
      <c r="N33" s="355" t="s">
        <v>253</v>
      </c>
      <c r="O33" s="356" t="s">
        <v>106</v>
      </c>
      <c r="P33" s="357">
        <f ca="1">OFFSET(PLQ!$E$12,ROW($P33)-ROW(P$12),0)</f>
        <v>0</v>
      </c>
      <c r="Q33" s="196"/>
      <c r="R33" s="199" t="s">
        <v>7</v>
      </c>
      <c r="S33" s="103">
        <f t="shared" si="10"/>
        <v>0</v>
      </c>
      <c r="T33" s="83">
        <f ca="1" t="shared" si="11"/>
        <v>0</v>
      </c>
      <c r="U33" s="9" t="str">
        <f ca="1" t="shared" si="12"/>
        <v>SEM VALOR</v>
      </c>
      <c r="V33" s="1">
        <f ca="1">IF(OR($A33=0,$A33="S",$A33&gt;CFF!$A$9),"",MAX(V$12:OFFSET(V33,-1,0))+1)</f>
        <v>4</v>
      </c>
      <c r="W33" s="4" t="b">
        <f t="shared" si="13"/>
        <v>0</v>
      </c>
      <c r="X33" s="1" t="str">
        <f ca="1" t="shared" si="14"/>
        <v>X</v>
      </c>
      <c r="Y33" s="103">
        <v>0</v>
      </c>
      <c r="Z33" s="113">
        <f ca="1">ROUND(IF(ISNUMBER(R33),R33,IF(LEFT(R33,3)="BDI",HLOOKUP(R33,DADOS!$T$37:$X$38,2,FALSE),0)),15-11*$X$5)</f>
        <v>0.2639</v>
      </c>
      <c r="AA33" s="1"/>
    </row>
    <row r="34" spans="1:27" ht="25.85">
      <c r="A34" t="str">
        <f t="shared" si="0"/>
        <v>S</v>
      </c>
      <c r="B34">
        <f t="shared" si="1"/>
        <v>0</v>
      </c>
      <c r="C34">
        <f ca="1" t="shared" si="2"/>
        <v>4</v>
      </c>
      <c r="D34">
        <f ca="1" t="shared" si="3"/>
        <v>0</v>
      </c>
      <c r="E34">
        <f ca="1" t="shared" si="4"/>
        <v>0</v>
      </c>
      <c r="F34">
        <f ca="1" t="shared" si="5"/>
        <v>0</v>
      </c>
      <c r="G34">
        <f ca="1" t="shared" si="6"/>
        <v>1</v>
      </c>
      <c r="H34">
        <f ca="1" t="shared" si="7"/>
        <v>0</v>
      </c>
      <c r="I34">
        <f ca="1" t="shared" si="8"/>
        <v>0</v>
      </c>
      <c r="J34" s="353" t="s">
        <v>103</v>
      </c>
      <c r="K34" s="138" t="str">
        <f ca="1" t="shared" si="9"/>
        <v>4.1.</v>
      </c>
      <c r="L34" s="354" t="s">
        <v>236</v>
      </c>
      <c r="M34" s="354" t="s">
        <v>254</v>
      </c>
      <c r="N34" s="355" t="s">
        <v>288</v>
      </c>
      <c r="O34" s="356" t="s">
        <v>293</v>
      </c>
      <c r="P34" s="357">
        <f ca="1">OFFSET(PLQ!$E$12,ROW($P34)-ROW(P$12),0)</f>
        <v>117.36</v>
      </c>
      <c r="Q34" s="196"/>
      <c r="R34" s="199" t="s">
        <v>7</v>
      </c>
      <c r="S34" s="103">
        <f t="shared" si="10"/>
        <v>0</v>
      </c>
      <c r="T34" s="83">
        <f ca="1" t="shared" si="11"/>
        <v>0</v>
      </c>
      <c r="U34" s="9" t="str">
        <f ca="1" t="shared" si="12"/>
        <v>SEM VALOR</v>
      </c>
      <c r="V34" s="1" t="str">
        <f ca="1">IF(OR($A34=0,$A34="S",$A34&gt;CFF!$A$9),"",MAX(V$12:OFFSET(V34,-1,0))+1)</f>
        <v/>
      </c>
      <c r="W34" s="4" t="str">
        <f t="shared" si="13"/>
        <v>SINAPI-72947</v>
      </c>
      <c r="X34" s="1">
        <f ca="1" t="shared" si="14"/>
        <v>10925</v>
      </c>
      <c r="Y34" s="103">
        <v>33.25</v>
      </c>
      <c r="Z34" s="113">
        <f ca="1">ROUND(IF(ISNUMBER(R34),R34,IF(LEFT(R34,3)="BDI",HLOOKUP(R34,DADOS!$T$37:$X$38,2,FALSE),0)),15-11*$X$5)</f>
        <v>0.2639</v>
      </c>
      <c r="AA34" s="1"/>
    </row>
    <row r="35" spans="1:27" ht="13.6">
      <c r="A35" t="str">
        <f t="shared" si="0"/>
        <v>S</v>
      </c>
      <c r="B35">
        <f t="shared" si="1"/>
        <v>0</v>
      </c>
      <c r="C35">
        <f ca="1" t="shared" si="2"/>
        <v>4</v>
      </c>
      <c r="D35">
        <f ca="1" t="shared" si="3"/>
        <v>0</v>
      </c>
      <c r="E35">
        <f ca="1" t="shared" si="4"/>
        <v>0</v>
      </c>
      <c r="F35">
        <f ca="1" t="shared" si="5"/>
        <v>0</v>
      </c>
      <c r="G35">
        <f ca="1" t="shared" si="6"/>
        <v>2</v>
      </c>
      <c r="H35">
        <f ca="1" t="shared" si="7"/>
        <v>0</v>
      </c>
      <c r="I35">
        <f ca="1" t="shared" si="8"/>
        <v>0</v>
      </c>
      <c r="J35" s="353" t="s">
        <v>103</v>
      </c>
      <c r="K35" s="138" t="str">
        <f ca="1" t="shared" si="9"/>
        <v>4.2.</v>
      </c>
      <c r="L35" s="354" t="s">
        <v>236</v>
      </c>
      <c r="M35" s="354" t="s">
        <v>266</v>
      </c>
      <c r="N35" s="355" t="s">
        <v>289</v>
      </c>
      <c r="O35" s="356" t="s">
        <v>295</v>
      </c>
      <c r="P35" s="357">
        <f ca="1">OFFSET(PLQ!$E$12,ROW($P35)-ROW(P$12),0)</f>
        <v>0.5</v>
      </c>
      <c r="Q35" s="196"/>
      <c r="R35" s="199" t="s">
        <v>7</v>
      </c>
      <c r="S35" s="103">
        <f t="shared" si="10"/>
        <v>0</v>
      </c>
      <c r="T35" s="83">
        <f ca="1" t="shared" si="11"/>
        <v>0</v>
      </c>
      <c r="U35" s="9" t="str">
        <f ca="1" t="shared" si="12"/>
        <v>SEM VALOR</v>
      </c>
      <c r="V35" s="1" t="str">
        <f ca="1">IF(OR($A35=0,$A35="S",$A35&gt;CFF!$A$9),"",MAX(V$12:OFFSET(V35,-1,0))+1)</f>
        <v/>
      </c>
      <c r="W35" s="4" t="str">
        <f t="shared" si="13"/>
        <v>SINAPI-93358</v>
      </c>
      <c r="X35" s="1">
        <f ca="1" t="shared" si="14"/>
        <v>10538</v>
      </c>
      <c r="Y35" s="103">
        <v>78.4</v>
      </c>
      <c r="Z35" s="113">
        <f ca="1">ROUND(IF(ISNUMBER(R35),R35,IF(LEFT(R35,3)="BDI",HLOOKUP(R35,DADOS!$T$37:$X$38,2,FALSE),0)),15-11*$X$5)</f>
        <v>0.2639</v>
      </c>
      <c r="AA35" s="1"/>
    </row>
    <row r="36" spans="1:27" ht="13.6">
      <c r="A36" t="str">
        <f t="shared" si="0"/>
        <v>S</v>
      </c>
      <c r="B36">
        <f t="shared" si="1"/>
        <v>0</v>
      </c>
      <c r="C36">
        <f ca="1" t="shared" si="2"/>
        <v>4</v>
      </c>
      <c r="D36">
        <f ca="1" t="shared" si="3"/>
        <v>0</v>
      </c>
      <c r="E36">
        <f ca="1" t="shared" si="4"/>
        <v>0</v>
      </c>
      <c r="F36">
        <f ca="1" t="shared" si="5"/>
        <v>0</v>
      </c>
      <c r="G36">
        <f ca="1" t="shared" si="6"/>
        <v>3</v>
      </c>
      <c r="H36">
        <f ca="1" t="shared" si="7"/>
        <v>0</v>
      </c>
      <c r="I36">
        <f ca="1" t="shared" si="8"/>
        <v>0</v>
      </c>
      <c r="J36" s="353" t="s">
        <v>103</v>
      </c>
      <c r="K36" s="138" t="str">
        <f ca="1" t="shared" si="9"/>
        <v>4.3.</v>
      </c>
      <c r="L36" s="354" t="s">
        <v>247</v>
      </c>
      <c r="M36" s="354" t="s">
        <v>255</v>
      </c>
      <c r="N36" s="355" t="s">
        <v>259</v>
      </c>
      <c r="O36" s="356" t="s">
        <v>295</v>
      </c>
      <c r="P36" s="357">
        <f ca="1">OFFSET(PLQ!$E$12,ROW($P36)-ROW(P$12),0)</f>
        <v>0.5</v>
      </c>
      <c r="Q36" s="196"/>
      <c r="R36" s="199" t="s">
        <v>7</v>
      </c>
      <c r="S36" s="103">
        <f t="shared" si="10"/>
        <v>0</v>
      </c>
      <c r="T36" s="83">
        <f ca="1" t="shared" si="11"/>
        <v>0</v>
      </c>
      <c r="U36" s="9" t="str">
        <f ca="1" t="shared" si="12"/>
        <v>SEM VALOR</v>
      </c>
      <c r="V36" s="1" t="str">
        <f ca="1">IF(OR($A36=0,$A36="S",$A36&gt;CFF!$A$9),"",MAX(V$12:OFFSET(V36,-1,0))+1)</f>
        <v/>
      </c>
      <c r="W36" s="4" t="str">
        <f t="shared" si="13"/>
        <v>SINAPI-I-39849</v>
      </c>
      <c r="X36" s="1">
        <f ca="1" t="shared" si="14"/>
        <v>1353</v>
      </c>
      <c r="Y36" s="103">
        <v>417.97</v>
      </c>
      <c r="Z36" s="113">
        <f ca="1">ROUND(IF(ISNUMBER(R36),R36,IF(LEFT(R36,3)="BDI",HLOOKUP(R36,DADOS!$T$37:$X$38,2,FALSE),0)),15-11*$X$5)</f>
        <v>0.2639</v>
      </c>
      <c r="AA36" s="1"/>
    </row>
    <row r="37" spans="1:27" ht="13.6">
      <c r="A37" t="str">
        <f t="shared" si="0"/>
        <v>S</v>
      </c>
      <c r="B37">
        <f t="shared" si="1"/>
        <v>0</v>
      </c>
      <c r="C37">
        <f ca="1" t="shared" si="2"/>
        <v>4</v>
      </c>
      <c r="D37">
        <f ca="1" t="shared" si="3"/>
        <v>0</v>
      </c>
      <c r="E37">
        <f ca="1" t="shared" si="4"/>
        <v>0</v>
      </c>
      <c r="F37">
        <f ca="1" t="shared" si="5"/>
        <v>0</v>
      </c>
      <c r="G37">
        <f ca="1" t="shared" si="6"/>
        <v>4</v>
      </c>
      <c r="H37">
        <f ca="1" t="shared" si="7"/>
        <v>0</v>
      </c>
      <c r="I37">
        <f ca="1" t="shared" si="8"/>
        <v>0</v>
      </c>
      <c r="J37" s="353" t="s">
        <v>103</v>
      </c>
      <c r="K37" s="138" t="str">
        <f ca="1" t="shared" si="9"/>
        <v>4.4.</v>
      </c>
      <c r="L37" s="354" t="s">
        <v>236</v>
      </c>
      <c r="M37" s="354" t="s">
        <v>256</v>
      </c>
      <c r="N37" s="355" t="s">
        <v>290</v>
      </c>
      <c r="O37" s="356" t="s">
        <v>299</v>
      </c>
      <c r="P37" s="357">
        <f ca="1">OFFSET(PLQ!$E$12,ROW($P37)-ROW(P$12),0)</f>
        <v>10</v>
      </c>
      <c r="Q37" s="196"/>
      <c r="R37" s="199" t="s">
        <v>7</v>
      </c>
      <c r="S37" s="103">
        <f t="shared" si="10"/>
        <v>0</v>
      </c>
      <c r="T37" s="83">
        <f ca="1" t="shared" si="11"/>
        <v>0</v>
      </c>
      <c r="U37" s="9" t="str">
        <f ca="1" t="shared" si="12"/>
        <v>SEM VALOR</v>
      </c>
      <c r="V37" s="1" t="str">
        <f ca="1">IF(OR($A37=0,$A37="S",$A37&gt;CFF!$A$9),"",MAX(V$12:OFFSET(V37,-1,0))+1)</f>
        <v/>
      </c>
      <c r="W37" s="4" t="str">
        <f t="shared" si="13"/>
        <v>SINAPI-73916/2</v>
      </c>
      <c r="X37" s="1">
        <f ca="1" t="shared" si="14"/>
        <v>11757</v>
      </c>
      <c r="Y37" s="103">
        <v>109.04</v>
      </c>
      <c r="Z37" s="113">
        <f ca="1">ROUND(IF(ISNUMBER(R37),R37,IF(LEFT(R37,3)="BDI",HLOOKUP(R37,DADOS!$T$37:$X$38,2,FALSE),0)),15-11*$X$5)</f>
        <v>0.2639</v>
      </c>
      <c r="AA37" s="1"/>
    </row>
    <row r="38" spans="1:27" ht="13.6">
      <c r="A38" t="str">
        <f>CHOOSE(1+LOG(1+2*(J38="Meta")+4*(J38="Nível 2")+8*(J38="Nível 3")+16*(J38="Nível 4")+32*(J38="Serviço"),2),0,1,2,3,4,"S")</f>
        <v>S</v>
      </c>
      <c r="B38">
        <f>IF(OR(A38="S",A38=0),0,IF(ISERROR(I38),H38,SMALL(H38:I38,1)))</f>
        <v>0</v>
      </c>
      <c r="C38">
        <f ca="1">IF($A38=1,OFFSET(C38,-1,0)+1,OFFSET(C38,-1,0))</f>
        <v>4</v>
      </c>
      <c r="D38">
        <f ca="1">IF($A38=1,0,IF($A38=2,OFFSET(D38,-1,0)+1,OFFSET(D38,-1,0)))</f>
        <v>0</v>
      </c>
      <c r="E38">
        <f ca="1">IF(AND($A38&lt;=2,$A38&lt;&gt;0),0,IF($A38=3,OFFSET(E38,-1,0)+1,OFFSET(E38,-1,0)))</f>
        <v>0</v>
      </c>
      <c r="F38">
        <f ca="1">IF(AND($A38&lt;=3,$A38&lt;&gt;0),0,IF($A38=4,OFFSET(F38,-1,0)+1,OFFSET(F38,-1,0)))</f>
        <v>0</v>
      </c>
      <c r="G38">
        <f ca="1">IF(AND($A38&lt;=4,$A38&lt;&gt;0),0,IF($A38="S",OFFSET(G38,-1,0)+1,OFFSET(G38,-1,0)))</f>
        <v>5</v>
      </c>
      <c r="H38">
        <f ca="1" t="shared" si="7"/>
        <v>0</v>
      </c>
      <c r="I38">
        <f ca="1" t="shared" si="8"/>
        <v>0</v>
      </c>
      <c r="J38" s="353" t="s">
        <v>103</v>
      </c>
      <c r="K38" s="138" t="str">
        <f ca="1">IF($A38=0,"-",CONCATENATE(C38&amp;".",IF(AND($A$5&gt;=2,$A38&gt;=2),D38&amp;".",""),IF(AND($A$5&gt;=3,$A38&gt;=3),E38&amp;".",""),IF(AND($A$5&gt;=4,$A38&gt;=4),F38&amp;".",""),IF($A38="S",G38&amp;".","")))</f>
        <v>4.5.</v>
      </c>
      <c r="L38" s="354" t="s">
        <v>247</v>
      </c>
      <c r="M38" s="354" t="s">
        <v>267</v>
      </c>
      <c r="N38" s="355" t="s">
        <v>291</v>
      </c>
      <c r="O38" s="356" t="s">
        <v>293</v>
      </c>
      <c r="P38" s="357">
        <f ca="1">OFFSET(PLQ!$E$12,ROW($P38)-ROW(P$12),0)</f>
        <v>1.42</v>
      </c>
      <c r="Q38" s="196"/>
      <c r="R38" s="199" t="s">
        <v>7</v>
      </c>
      <c r="S38" s="103">
        <f>IF($A38="S",IF($Q$10="Preço Unitário (R$)",PO.CustoUnitario,ROUND(PO.CustoUnitario*(1+$Z38),15-13*$X$6)),0)</f>
        <v>0</v>
      </c>
      <c r="T38" s="83">
        <f ca="1">IF($A38="S",VTOTAL1,IF($A38=0,0,ROUND(SomaAgrup,15-13*$X$7)))</f>
        <v>0</v>
      </c>
      <c r="U38" s="9" t="str">
        <f ca="1">IF($J38="","",IF($N38="","DESCRIÇÃO",IF(AND($J38="Serviço",$O38=""),"UNIDADE",IF($T38&lt;=0,"SEM VALOR",IF(AND($Y38&lt;&gt;"",$Q38&gt;$Y38),"ACIMA REF.","")))))</f>
        <v>SEM VALOR</v>
      </c>
      <c r="V38" s="1" t="str">
        <f ca="1">IF(OR($A38=0,$A38="S",$A38&gt;CFF!$A$9),"",MAX(V$12:OFFSET(V38,-1,0))+1)</f>
        <v/>
      </c>
      <c r="W38" s="4" t="str">
        <f>IF(AND($J38="Serviço",$M38&lt;&gt;""),IF($L38="",$M38,CONCATENATE($L38,"-",$M38)))</f>
        <v>SINAPI-I-34721</v>
      </c>
      <c r="X38" s="1">
        <f ca="1">IF(AND(Fonte&lt;&gt;"",Código&lt;&gt;""),MATCH(Fonte&amp;" "&amp;IF(Fonte="sinapi",SUBSTITUTE(SUBSTITUTE(Código,"/00","/"),"/0","/"),Código),INDIRECT("'[Referência "&amp;_XLNM.DATABASE&amp;".xls]Banco'!$a:$a"),0),"X")</f>
        <v>3758</v>
      </c>
      <c r="Y38" s="103">
        <v>873.61</v>
      </c>
      <c r="Z38" s="113">
        <f ca="1">ROUND(IF(ISNUMBER(R38),R38,IF(LEFT(R38,3)="BDI",HLOOKUP(R38,DADOS!$T$37:$X$38,2,FALSE),0)),15-11*$X$5)</f>
        <v>0.2639</v>
      </c>
      <c r="AA38" s="1"/>
    </row>
    <row r="39" spans="1:27" ht="13.6">
      <c r="A39" t="str">
        <f t="shared" si="0"/>
        <v>S</v>
      </c>
      <c r="B39">
        <f t="shared" si="1"/>
        <v>0</v>
      </c>
      <c r="C39">
        <f ca="1" t="shared" si="2"/>
        <v>4</v>
      </c>
      <c r="D39">
        <f ca="1" t="shared" si="3"/>
        <v>0</v>
      </c>
      <c r="E39">
        <f ca="1" t="shared" si="4"/>
        <v>0</v>
      </c>
      <c r="F39">
        <f ca="1" t="shared" si="5"/>
        <v>0</v>
      </c>
      <c r="G39">
        <f ca="1" t="shared" si="6"/>
        <v>6</v>
      </c>
      <c r="H39">
        <f ca="1" t="shared" si="7"/>
        <v>0</v>
      </c>
      <c r="I39">
        <f ca="1" t="shared" si="8"/>
        <v>0</v>
      </c>
      <c r="J39" s="353" t="s">
        <v>103</v>
      </c>
      <c r="K39" s="138" t="str">
        <f ca="1" t="shared" si="9"/>
        <v>4.6.</v>
      </c>
      <c r="L39" s="354" t="s">
        <v>247</v>
      </c>
      <c r="M39" s="354" t="s">
        <v>257</v>
      </c>
      <c r="N39" s="355" t="s">
        <v>292</v>
      </c>
      <c r="O39" s="356" t="s">
        <v>294</v>
      </c>
      <c r="P39" s="357">
        <f ca="1">OFFSET(PLQ!$E$12,ROW($P39)-ROW(P$12),0)</f>
        <v>48</v>
      </c>
      <c r="Q39" s="196"/>
      <c r="R39" s="199" t="s">
        <v>7</v>
      </c>
      <c r="S39" s="103">
        <f t="shared" si="10"/>
        <v>0</v>
      </c>
      <c r="T39" s="83">
        <f ca="1" t="shared" si="11"/>
        <v>0</v>
      </c>
      <c r="U39" s="9" t="str">
        <f ca="1" t="shared" si="12"/>
        <v>SEM VALOR</v>
      </c>
      <c r="V39" s="1" t="str">
        <f ca="1">IF(OR($A39=0,$A39="S",$A39&gt;CFF!$A$9),"",MAX(V$12:OFFSET(V39,-1,0))+1)</f>
        <v/>
      </c>
      <c r="W39" s="4" t="str">
        <f t="shared" si="13"/>
        <v>SINAPI-I-21013</v>
      </c>
      <c r="X39" s="1">
        <f ca="1" t="shared" si="14"/>
        <v>4882</v>
      </c>
      <c r="Y39" s="103">
        <v>51.38</v>
      </c>
      <c r="Z39" s="113">
        <f ca="1">ROUND(IF(ISNUMBER(R39),R39,IF(LEFT(R39,3)="BDI",HLOOKUP(R39,DADOS!$T$37:$X$38,2,FALSE),0)),15-11*$X$5)</f>
        <v>0.2639</v>
      </c>
      <c r="AA39" s="1"/>
    </row>
    <row r="40" spans="1:27" ht="12.75">
      <c r="A40">
        <v>-1</v>
      </c>
      <c r="C40">
        <v>0</v>
      </c>
      <c r="D40">
        <v>0</v>
      </c>
      <c r="E40">
        <v>0</v>
      </c>
      <c r="F40">
        <v>0</v>
      </c>
      <c r="G40">
        <v>0</v>
      </c>
      <c r="J40" s="69"/>
      <c r="K40" s="69"/>
      <c r="L40" s="69"/>
      <c r="M40" s="69"/>
      <c r="N40" s="69"/>
      <c r="O40" s="69"/>
      <c r="P40" s="69"/>
      <c r="Q40" s="69"/>
      <c r="R40" s="69"/>
      <c r="S40" s="69"/>
      <c r="T40" s="69"/>
      <c r="U40" s="1"/>
      <c r="V40" s="1"/>
      <c r="W40" s="1"/>
      <c r="X40" s="1"/>
      <c r="Y40" s="1"/>
      <c r="Z40" s="1"/>
      <c r="AA40" s="1"/>
    </row>
    <row r="41" spans="1:27" ht="13.6">
      <c r="A41" s="1"/>
      <c r="B41" s="1"/>
      <c r="C41" s="1"/>
      <c r="D41" s="1"/>
      <c r="E41" s="1"/>
      <c r="F41" s="1"/>
      <c r="G41" s="1"/>
      <c r="H41" s="1"/>
      <c r="I41" s="1"/>
      <c r="J41" s="1"/>
      <c r="K41" s="70" t="s">
        <v>62</v>
      </c>
      <c r="L41" s="1"/>
      <c r="M41" s="324" t="s">
        <v>141</v>
      </c>
      <c r="N41" s="325"/>
      <c r="O41" s="325"/>
      <c r="P41" s="325"/>
      <c r="Q41" s="325"/>
      <c r="R41" s="325"/>
      <c r="S41" s="325"/>
      <c r="T41" s="326"/>
      <c r="U41" s="1"/>
      <c r="V41" s="1"/>
      <c r="W41" s="1"/>
      <c r="X41" s="1"/>
      <c r="Y41" s="1"/>
      <c r="Z41" s="1"/>
      <c r="AA41" s="1"/>
    </row>
    <row r="42" spans="1:27" ht="12.7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3.6">
      <c r="A43" s="1"/>
      <c r="B43" s="1"/>
      <c r="C43" s="1"/>
      <c r="D43" s="1"/>
      <c r="E43" s="1"/>
      <c r="F43" s="1"/>
      <c r="G43" s="1"/>
      <c r="H43" s="1"/>
      <c r="I43" s="1"/>
      <c r="J43" s="1"/>
      <c r="K43" s="76" t="s">
        <v>21</v>
      </c>
      <c r="L43" s="1"/>
      <c r="M43" s="1"/>
      <c r="N43" s="1"/>
      <c r="O43" s="1"/>
      <c r="P43" s="1"/>
      <c r="Q43" s="1"/>
      <c r="R43" s="1"/>
      <c r="S43" s="1"/>
      <c r="T43" s="75"/>
      <c r="U43" s="1"/>
      <c r="V43" s="1"/>
      <c r="W43" s="1"/>
      <c r="X43" s="1"/>
      <c r="Y43" s="1"/>
      <c r="Z43" s="1"/>
      <c r="AA43" s="1"/>
    </row>
    <row r="44" spans="1:27" ht="12.75" customHeight="1">
      <c r="A44" s="1"/>
      <c r="B44" s="1"/>
      <c r="C44" s="1"/>
      <c r="D44" s="1"/>
      <c r="E44" s="1"/>
      <c r="F44" s="1"/>
      <c r="G44" s="1"/>
      <c r="H44" s="1"/>
      <c r="I44" s="1"/>
      <c r="J44" s="1"/>
      <c r="K44" s="318"/>
      <c r="L44" s="319"/>
      <c r="M44" s="319"/>
      <c r="N44" s="319"/>
      <c r="O44" s="319"/>
      <c r="P44" s="319"/>
      <c r="Q44" s="319"/>
      <c r="R44" s="319"/>
      <c r="S44" s="319"/>
      <c r="T44" s="320"/>
      <c r="U44" s="1"/>
      <c r="V44" s="1"/>
      <c r="W44" s="1"/>
      <c r="X44" s="1"/>
      <c r="Y44" s="1"/>
      <c r="Z44" s="1"/>
      <c r="AA44" s="1"/>
    </row>
    <row r="45" spans="1:27" ht="12.75">
      <c r="A45" s="1"/>
      <c r="B45" s="1"/>
      <c r="C45" s="1"/>
      <c r="D45" s="1"/>
      <c r="E45" s="1"/>
      <c r="F45" s="1"/>
      <c r="G45" s="1"/>
      <c r="H45" s="1"/>
      <c r="I45" s="1"/>
      <c r="J45" s="1"/>
      <c r="K45" s="318"/>
      <c r="L45" s="319"/>
      <c r="M45" s="319"/>
      <c r="N45" s="319"/>
      <c r="O45" s="319"/>
      <c r="P45" s="319"/>
      <c r="Q45" s="319"/>
      <c r="R45" s="319"/>
      <c r="S45" s="319"/>
      <c r="T45" s="320"/>
      <c r="U45" s="1"/>
      <c r="V45" s="1"/>
      <c r="W45" s="1"/>
      <c r="X45" s="1"/>
      <c r="Y45" s="1"/>
      <c r="Z45" s="1"/>
      <c r="AA45" s="1"/>
    </row>
    <row r="46" spans="1:27" ht="12.75">
      <c r="A46" s="1"/>
      <c r="B46" s="1"/>
      <c r="C46" s="1"/>
      <c r="D46" s="1"/>
      <c r="E46" s="1"/>
      <c r="F46" s="1"/>
      <c r="G46" s="1"/>
      <c r="H46" s="1"/>
      <c r="I46" s="1"/>
      <c r="J46" s="1"/>
      <c r="K46" s="321"/>
      <c r="L46" s="322"/>
      <c r="M46" s="322"/>
      <c r="N46" s="322"/>
      <c r="O46" s="322"/>
      <c r="P46" s="322"/>
      <c r="Q46" s="322"/>
      <c r="R46" s="322"/>
      <c r="S46" s="322"/>
      <c r="T46" s="323"/>
      <c r="U46" s="1"/>
      <c r="V46" s="1"/>
      <c r="W46" s="1"/>
      <c r="X46" s="1"/>
      <c r="Y46" s="1"/>
      <c r="Z46" s="1"/>
      <c r="AA46" s="1"/>
    </row>
    <row r="47" spans="1:27" ht="13.6">
      <c r="A47" s="1"/>
      <c r="B47" s="1"/>
      <c r="C47" s="1"/>
      <c r="D47" s="1"/>
      <c r="E47" s="1"/>
      <c r="F47" s="1"/>
      <c r="G47" s="1"/>
      <c r="H47" s="1"/>
      <c r="I47" s="1"/>
      <c r="J47" s="1"/>
      <c r="K47" s="180"/>
      <c r="L47" s="180"/>
      <c r="M47" s="180"/>
      <c r="N47" s="180"/>
      <c r="O47" s="180"/>
      <c r="P47" s="180"/>
      <c r="Q47" s="180"/>
      <c r="R47" s="180"/>
      <c r="S47" s="180"/>
      <c r="T47" s="180"/>
      <c r="U47" s="1"/>
      <c r="V47" s="1"/>
      <c r="W47" s="1"/>
      <c r="X47" s="1"/>
      <c r="Y47" s="1"/>
      <c r="Z47" s="1"/>
      <c r="AA47" s="1"/>
    </row>
    <row r="48" spans="1:27" ht="14.3">
      <c r="A48" s="1"/>
      <c r="B48" s="1"/>
      <c r="C48" s="1"/>
      <c r="D48" s="1"/>
      <c r="E48" s="1"/>
      <c r="F48" s="1"/>
      <c r="G48" s="1"/>
      <c r="H48" s="1"/>
      <c r="I48" s="1"/>
      <c r="J48" s="1"/>
      <c r="K48" s="315"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48" s="316"/>
      <c r="M48" s="316"/>
      <c r="N48" s="316"/>
      <c r="O48" s="316"/>
      <c r="P48" s="316"/>
      <c r="Q48" s="316"/>
      <c r="R48" s="316"/>
      <c r="S48" s="316"/>
      <c r="T48" s="317"/>
      <c r="U48" s="1"/>
      <c r="V48" s="1"/>
      <c r="W48" s="1"/>
      <c r="X48" s="1"/>
      <c r="Y48" s="1"/>
      <c r="Z48" s="1"/>
      <c r="AA48" s="1"/>
    </row>
    <row r="49" spans="1:27" ht="12.7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21.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 r="A51" s="1"/>
      <c r="B51" s="1"/>
      <c r="C51" s="1"/>
      <c r="D51" s="1"/>
      <c r="E51" s="1"/>
      <c r="F51" s="1"/>
      <c r="G51" s="1"/>
      <c r="H51" s="1"/>
      <c r="I51" s="1"/>
      <c r="J51" s="1"/>
      <c r="K51" s="328" t="str">
        <f>Import.Município</f>
        <v>Tenente Portela</v>
      </c>
      <c r="L51" s="328"/>
      <c r="M51" s="328"/>
      <c r="N51" s="1"/>
      <c r="O51" s="1"/>
      <c r="P51" s="1"/>
      <c r="Q51" s="1"/>
      <c r="R51" s="1"/>
      <c r="S51" s="1"/>
      <c r="T51" s="1"/>
      <c r="U51" s="1"/>
      <c r="V51" s="1"/>
      <c r="W51" s="1"/>
      <c r="X51" s="1"/>
      <c r="Y51" s="1"/>
      <c r="Z51" s="1"/>
      <c r="AA51" s="1"/>
    </row>
    <row r="52" spans="1:27" ht="13.6">
      <c r="A52" s="1"/>
      <c r="B52" s="1"/>
      <c r="C52" s="1"/>
      <c r="D52" s="1"/>
      <c r="E52" s="1"/>
      <c r="F52" s="1"/>
      <c r="G52" s="1"/>
      <c r="H52" s="1"/>
      <c r="I52" s="1"/>
      <c r="J52" s="1"/>
      <c r="K52" s="97" t="s">
        <v>120</v>
      </c>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 r="A54" s="1"/>
      <c r="B54" s="1"/>
      <c r="C54" s="1"/>
      <c r="D54" s="1"/>
      <c r="E54" s="1"/>
      <c r="F54" s="1"/>
      <c r="G54" s="1"/>
      <c r="H54" s="1"/>
      <c r="I54" s="1"/>
      <c r="J54" s="1"/>
      <c r="K54" s="327">
        <f ca="1">TODAY()</f>
        <v>43563</v>
      </c>
      <c r="L54" s="327"/>
      <c r="M54" s="327"/>
      <c r="N54" s="1"/>
      <c r="O54" s="1"/>
      <c r="P54" s="1"/>
      <c r="Q54" s="1"/>
      <c r="R54" s="1"/>
      <c r="S54" s="1"/>
      <c r="T54" s="1"/>
      <c r="U54" s="1"/>
      <c r="V54" s="1"/>
      <c r="W54" s="1"/>
      <c r="X54" s="1"/>
      <c r="Y54" s="1"/>
      <c r="Z54" s="1"/>
      <c r="AA54" s="1"/>
    </row>
    <row r="55" spans="1:27" ht="13.6">
      <c r="A55" s="1"/>
      <c r="B55" s="1"/>
      <c r="C55" s="1"/>
      <c r="D55" s="1"/>
      <c r="E55" s="1"/>
      <c r="F55" s="1"/>
      <c r="G55" s="1"/>
      <c r="H55" s="1"/>
      <c r="I55" s="1"/>
      <c r="J55" s="1"/>
      <c r="K55" s="119" t="s">
        <v>121</v>
      </c>
      <c r="L55" s="69"/>
      <c r="M55" s="69"/>
      <c r="N55" s="1"/>
      <c r="O55" s="1"/>
      <c r="P55" s="1"/>
      <c r="Q55" s="1"/>
      <c r="R55" s="1"/>
      <c r="S55" s="1"/>
      <c r="T55" s="1"/>
      <c r="U55" s="1"/>
      <c r="V55" s="1"/>
      <c r="W55" s="1"/>
      <c r="X55" s="1"/>
      <c r="Y55" s="1"/>
      <c r="Z55" s="1"/>
      <c r="AA55" s="1"/>
    </row>
  </sheetData>
  <sheetProtection algorithmName="SHA-512" hashValue="vF44QQKeReal+hK7KDGcHHNIQip5EniuS+KGZyX3rdXcw1MTphhLtJMQCoCNZqFRf0sk3foEYb+CQzslluupnw==" saltValue="D2hatDIp2I8mz212wbk6Xw==" spinCount="100000" sheet="1" objects="1" scenarios="1"/>
  <mergeCells count="6">
    <mergeCell ref="W2:X2"/>
    <mergeCell ref="K48:T48"/>
    <mergeCell ref="K44:T46"/>
    <mergeCell ref="M41:T41"/>
    <mergeCell ref="K54:M54"/>
    <mergeCell ref="K51:M51"/>
  </mergeCells>
  <conditionalFormatting sqref="O12:R12 L12:M12">
    <cfRule type="expression" priority="1895" dxfId="67" stopIfTrue="1">
      <formula>$J12=$C$2</formula>
    </cfRule>
    <cfRule type="expression" priority="1896" dxfId="141" stopIfTrue="1">
      <formula>UPPER(LEFT($J12,5))="NÍVEL"</formula>
    </cfRule>
    <cfRule type="expression" priority="1897" dxfId="143" stopIfTrue="1">
      <formula>$J12=$C$8</formula>
    </cfRule>
  </conditionalFormatting>
  <conditionalFormatting sqref="Y12:Z12 S12:T12 K12">
    <cfRule type="expression" priority="1898" dxfId="67" stopIfTrue="1">
      <formula>$J12=$C$2</formula>
    </cfRule>
    <cfRule type="expression" priority="1899" dxfId="141" stopIfTrue="1">
      <formula>UPPER(LEFT($J12,5))="NÍVEL"</formula>
    </cfRule>
  </conditionalFormatting>
  <conditionalFormatting sqref="K11 K13:K39">
    <cfRule type="expression" priority="1911" dxfId="16" stopIfTrue="1">
      <formula>$J11=$C$2</formula>
    </cfRule>
    <cfRule type="expression" priority="1912" dxfId="66" stopIfTrue="1">
      <formula>AND($J11&lt;&gt;"",$J11&lt;&gt;"Serviço")</formula>
    </cfRule>
    <cfRule type="expression" priority="1913" dxfId="65" stopIfTrue="1">
      <formula>$J11=""</formula>
    </cfRule>
  </conditionalFormatting>
  <conditionalFormatting sqref="P11 P13:P39">
    <cfRule type="expression" priority="238" dxfId="137" stopIfTrue="1">
      <formula>$J11=$C$2</formula>
    </cfRule>
    <cfRule type="expression" priority="1917" dxfId="136" stopIfTrue="1">
      <formula>AND($J11&lt;&gt;"Serviço")</formula>
    </cfRule>
    <cfRule type="expression" priority="1918" dxfId="135" stopIfTrue="1">
      <formula>CELL("proteger",P11)</formula>
    </cfRule>
  </conditionalFormatting>
  <conditionalFormatting sqref="Q11:R11 Q13:R39">
    <cfRule type="expression" priority="1919" dxfId="123" stopIfTrue="1">
      <formula>$J11=$C$2</formula>
    </cfRule>
    <cfRule type="expression" priority="1920" dxfId="122" stopIfTrue="1">
      <formula>$J11&lt;&gt;"Serviço"</formula>
    </cfRule>
    <cfRule type="expression" priority="1921" dxfId="93" stopIfTrue="1">
      <formula>CELL("proteger",Q11)</formula>
    </cfRule>
  </conditionalFormatting>
  <conditionalFormatting sqref="S11:T11 Y11:Z11 S13:T39 Y13:Z39">
    <cfRule type="expression" priority="1922" dxfId="16" stopIfTrue="1">
      <formula>$J11=$C$2</formula>
    </cfRule>
    <cfRule type="expression" priority="1923" dxfId="66" stopIfTrue="1">
      <formula>$J11&lt;&gt;"Serviço"</formula>
    </cfRule>
  </conditionalFormatting>
  <conditionalFormatting sqref="L11:M11 L13:M39">
    <cfRule type="expression" priority="1943" dxfId="123" stopIfTrue="1">
      <formula>$J11=$C$2</formula>
    </cfRule>
    <cfRule type="expression" priority="1944" dxfId="122" stopIfTrue="1">
      <formula>$J11&lt;&gt;"Serviço"</formula>
    </cfRule>
    <cfRule type="expression" priority="1945" dxfId="93" stopIfTrue="1">
      <formula>OR(CELL("proteger",L11),$J11="",TipoOrçamento="Licitado")</formula>
    </cfRule>
  </conditionalFormatting>
  <conditionalFormatting sqref="K41:T41">
    <cfRule type="expression" priority="1924" dxfId="50" stopIfTrue="1">
      <formula>OR(Tipo.Orçamento="LICITADO",Tipo.Orçamento="REPROGRAMADOAC")</formula>
    </cfRule>
    <cfRule type="expression" priority="1925" dxfId="125" stopIfTrue="1">
      <formula>$M$41=""</formula>
    </cfRule>
  </conditionalFormatting>
  <conditionalFormatting sqref="J11 J22:J25 J13:J20 J39 J33:J37">
    <cfRule type="expression" priority="1952" dxfId="93" stopIfTrue="1">
      <formula>TipoOrçamento="Licitado"</formula>
    </cfRule>
  </conditionalFormatting>
  <conditionalFormatting sqref="O11 O13:O39">
    <cfRule type="expression" priority="258" dxfId="123" stopIfTrue="1">
      <formula>$J11=$C$2</formula>
    </cfRule>
    <cfRule type="expression" priority="259" dxfId="122" stopIfTrue="1">
      <formula>AND($J11&lt;&gt;"Serviço")</formula>
    </cfRule>
    <cfRule type="expression" priority="260" dxfId="93" stopIfTrue="1">
      <formula>CELL("proteger",O11)</formula>
    </cfRule>
  </conditionalFormatting>
  <conditionalFormatting sqref="N11 N14:N39">
    <cfRule type="expression" priority="261" dxfId="117" stopIfTrue="1">
      <formula>$J11=$C$2</formula>
    </cfRule>
    <cfRule type="expression" priority="262" dxfId="66" stopIfTrue="1">
      <formula>$J11&lt;&gt;"Serviço"</formula>
    </cfRule>
    <cfRule type="expression" priority="263" dxfId="93" stopIfTrue="1">
      <formula>CELL("proteger",N11)</formula>
    </cfRule>
  </conditionalFormatting>
  <conditionalFormatting sqref="N13">
    <cfRule type="expression" priority="127" dxfId="117" stopIfTrue="1">
      <formula>$J13=$C$2</formula>
    </cfRule>
    <cfRule type="expression" priority="128" dxfId="66" stopIfTrue="1">
      <formula>$J13&lt;&gt;"Serviço"</formula>
    </cfRule>
    <cfRule type="expression" priority="129" dxfId="93" stopIfTrue="1">
      <formula>CELL("proteger",N13)</formula>
    </cfRule>
  </conditionalFormatting>
  <conditionalFormatting sqref="J27:J31">
    <cfRule type="expression" priority="126" dxfId="93" stopIfTrue="1">
      <formula>TipoOrçamento="Licitado"</formula>
    </cfRule>
  </conditionalFormatting>
  <conditionalFormatting sqref="J26">
    <cfRule type="expression" priority="105" dxfId="93" stopIfTrue="1">
      <formula>TipoOrçamento="Licitado"</formula>
    </cfRule>
  </conditionalFormatting>
  <conditionalFormatting sqref="J32">
    <cfRule type="expression" priority="63" dxfId="93" stopIfTrue="1">
      <formula>TipoOrçamento="Licitado"</formula>
    </cfRule>
  </conditionalFormatting>
  <conditionalFormatting sqref="J21">
    <cfRule type="expression" priority="42" dxfId="93" stopIfTrue="1">
      <formula>TipoOrçamento="Licitado"</formula>
    </cfRule>
  </conditionalFormatting>
  <conditionalFormatting sqref="J38">
    <cfRule type="expression" priority="21" dxfId="93" stopIfTrue="1">
      <formula>TipoOrçamento="Licitado"</formula>
    </cfRule>
  </conditionalFormatting>
  <dataValidations count="3">
    <dataValidation type="decimal" operator="greaterThan" allowBlank="1" showInputMessage="1" showErrorMessage="1" error="Apenas números decimais maiores que zero." sqref="Q11 Q13:Q39">
      <formula1>0</formula1>
    </dataValidation>
    <dataValidation errorStyle="warning" type="list" allowBlank="1" showInputMessage="1" showErrorMessage="1" error="Selecione um dos 5 BDI da lista._x000a__x000a_Caso tenha mais de 5 BDI nesta Planilha Orçamentária digite apenas valor percentual." sqref="R11 R13:R39">
      <formula1>Dados.Lista.BDI</formula1>
    </dataValidation>
    <dataValidation type="list" showInputMessage="1" showErrorMessage="1" promptTitle="Nível:" prompt="Selecione na lista o nível de itemização da Planilha." errorTitle="Erro de Entrada" error="Selecione somente os itens da lista." sqref="J11 J14:J39">
      <formula1>$C$2:$G$2</formula1>
    </dataValidation>
  </dataValidations>
  <printOptions/>
  <pageMargins left="0.7874015748031497" right="0.7874015748031497" top="0.7874015748031497" bottom="0.7874015748031497" header="0.5905511811023623" footer="0.5905511811023623"/>
  <pageSetup fitToHeight="0" fitToWidth="1" horizontalDpi="600" verticalDpi="600" orientation="landscape" paperSize="9" scale="51" r:id="rId3"/>
  <headerFooter alignWithMargins="0">
    <oddHeader>&amp;LESTADO DO RIO GRANDE DO SUL
MUNICÍPIO DE TENENTE PORTELA&amp;C&amp;14Processo Licitatório Nr. 66/2019
Tomada de Preços Nr. 02/2019</oddHeader>
    <oddFooter>&amp;L27.476 v008   micro&amp;R&amp;P</oddFooter>
  </headerFooter>
  <ignoredErrors>
    <ignoredError sqref="K51 K54" unlockedFormula="1"/>
  </ignoredError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2">
    <tabColor rgb="FFFFFF00"/>
  </sheetPr>
  <dimension ref="A1:U46"/>
  <sheetViews>
    <sheetView showGridLines="0" zoomScale="70" zoomScaleNormal="70" zoomScaleSheetLayoutView="100" workbookViewId="0" topLeftCell="A1">
      <pane xSplit="5" ySplit="10" topLeftCell="F11" activePane="bottomRight" state="frozen"/>
      <selection pane="topRight" activeCell="A1" sqref="A1"/>
      <selection pane="bottomLeft" activeCell="A1" sqref="A1"/>
      <selection pane="bottomRight" activeCell="G21" sqref="G21"/>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1" customFormat="1" ht="17.35" customHeight="1">
      <c r="E1" s="71" t="s">
        <v>63</v>
      </c>
      <c r="F1" s="28" t="s">
        <v>64</v>
      </c>
      <c r="K1" s="14"/>
      <c r="O1"/>
    </row>
    <row r="2" spans="4:15" s="1" customFormat="1" ht="15.75">
      <c r="D2" s="3"/>
      <c r="E2" s="71"/>
      <c r="F2" s="28"/>
      <c r="K2" s="15"/>
      <c r="O2"/>
    </row>
    <row r="3" s="1" customFormat="1" ht="12.75"/>
    <row r="4" s="1" customFormat="1" ht="39.9" customHeight="1"/>
    <row r="5" s="1" customFormat="1" ht="39.9" customHeight="1"/>
    <row r="6" s="1" customFormat="1" ht="20.25" customHeight="1"/>
    <row r="7" s="1" customFormat="1" ht="12.75" customHeight="1" hidden="1">
      <c r="E7" s="191">
        <f ca="1">OFFSET(PO!$P$12,ROW($E7)-ROW(E$12),0)</f>
        <v>0</v>
      </c>
    </row>
    <row r="8" s="1" customFormat="1" ht="10.05" customHeight="1"/>
    <row r="9" spans="2:21" s="1" customFormat="1" ht="60" customHeight="1">
      <c r="B9" s="13"/>
      <c r="C9" s="10"/>
      <c r="D9" s="4"/>
      <c r="E9" s="124" t="s">
        <v>46</v>
      </c>
      <c r="F9" s="359" t="s">
        <v>273</v>
      </c>
      <c r="G9" s="359"/>
      <c r="H9" s="359"/>
      <c r="I9" s="359"/>
      <c r="J9" s="359"/>
      <c r="K9" s="359"/>
      <c r="L9" s="359"/>
      <c r="M9" s="359"/>
      <c r="N9" s="359"/>
      <c r="O9" s="359"/>
      <c r="U9" s="104"/>
    </row>
    <row r="10" spans="1:21" s="11" customFormat="1" ht="30.1" customHeight="1">
      <c r="A10" s="105" t="s">
        <v>3</v>
      </c>
      <c r="B10" s="105" t="s">
        <v>147</v>
      </c>
      <c r="C10" s="105" t="s">
        <v>142</v>
      </c>
      <c r="D10" s="106" t="s">
        <v>158</v>
      </c>
      <c r="E10" s="105" t="s">
        <v>148</v>
      </c>
      <c r="F10" s="107">
        <f aca="true" ca="1" t="shared" si="0" ref="F10:O10">IF(OFFSET(F10,0,-1)="Quantidade",1,OFFSET(F10,0,-1)+1)</f>
        <v>1</v>
      </c>
      <c r="G10" s="107">
        <f ca="1" t="shared" si="0"/>
        <v>2</v>
      </c>
      <c r="H10" s="107">
        <f ca="1" t="shared" si="0"/>
        <v>3</v>
      </c>
      <c r="I10" s="107">
        <f ca="1" t="shared" si="0"/>
        <v>4</v>
      </c>
      <c r="J10" s="107">
        <f ca="1" t="shared" si="0"/>
        <v>5</v>
      </c>
      <c r="K10" s="107">
        <f ca="1" t="shared" si="0"/>
        <v>6</v>
      </c>
      <c r="L10" s="107">
        <f ca="1" t="shared" si="0"/>
        <v>7</v>
      </c>
      <c r="M10" s="107">
        <f ca="1" t="shared" si="0"/>
        <v>8</v>
      </c>
      <c r="N10" s="107">
        <f ca="1" t="shared" si="0"/>
        <v>9</v>
      </c>
      <c r="O10" s="107">
        <f ca="1" t="shared" si="0"/>
        <v>10</v>
      </c>
      <c r="U10" s="107">
        <f ca="1">IF(OFFSET(U10,0,-1)="Quantidade",1,OFFSET(U10,0,-1)+1)</f>
        <v>1</v>
      </c>
    </row>
    <row r="11" spans="1:21" s="1" customFormat="1" ht="12.75" hidden="1">
      <c r="A11" s="110" t="str">
        <f ca="1">OFFSET(PO!J$12,ROW(A11)-ROW($A$12),0)</f>
        <v>Serviço</v>
      </c>
      <c r="B11" s="112" t="e">
        <f ca="1">IF($A11=0,"",OFFSET(PO!K$12,ROW(B11)-ROW(B$12),0))</f>
        <v>#VALUE!</v>
      </c>
      <c r="C11" s="109" t="str">
        <f ca="1">IF(OFFSET(PO!N$12,ROW(C11)-ROW(C$12),0)=0,"",OFFSET(PO!N$12,ROW(C11)-ROW(C$12),0))</f>
        <v/>
      </c>
      <c r="D11" s="111" t="str">
        <f ca="1">IF(OFFSET(PO!O$12,ROW(D11)-ROW(D$12),0)=0,"",OFFSET(PO!O$12,ROW(D11)-ROW(D$12),0))</f>
        <v/>
      </c>
      <c r="E11" s="140">
        <f ca="1">IF($A11&lt;&gt;"Serviço",0,ROUND(SUMIF($F$9:$P$9,"&lt;&gt;",$F11:$P11),15-13*PO!$X$3))</f>
        <v>0</v>
      </c>
      <c r="F11" s="182"/>
      <c r="G11" s="182"/>
      <c r="H11" s="182"/>
      <c r="I11" s="182"/>
      <c r="J11" s="182"/>
      <c r="K11" s="182"/>
      <c r="L11" s="182"/>
      <c r="M11" s="182"/>
      <c r="N11" s="182"/>
      <c r="O11" s="182"/>
      <c r="U11" s="182"/>
    </row>
    <row r="12" spans="1:21" s="1" customFormat="1" ht="13.6">
      <c r="A12" s="64" t="str">
        <f>PO!J12</f>
        <v>CTEF</v>
      </c>
      <c r="B12" s="64"/>
      <c r="C12" s="64">
        <f>PO!N12</f>
        <v>0</v>
      </c>
      <c r="D12" s="64"/>
      <c r="E12" s="183"/>
      <c r="F12" s="184"/>
      <c r="G12" s="184"/>
      <c r="H12" s="184"/>
      <c r="I12" s="184"/>
      <c r="J12" s="184"/>
      <c r="K12" s="184"/>
      <c r="L12" s="184"/>
      <c r="M12" s="184"/>
      <c r="N12" s="184"/>
      <c r="O12" s="184"/>
      <c r="U12" s="184"/>
    </row>
    <row r="13" spans="1:21" s="1" customFormat="1" ht="13.6">
      <c r="A13" s="108" t="str">
        <f ca="1">OFFSET(PO!J$12,ROW(A13)-ROW($A$12),0)</f>
        <v>Meta</v>
      </c>
      <c r="B13" s="112" t="str">
        <f ca="1">IF($A13=0,"",OFFSET(PO!K$12,ROW(B13)-ROW(B$12),0))</f>
        <v>1.</v>
      </c>
      <c r="C13" s="109" t="str">
        <f ca="1">IF(OFFSET(PO!N$12,ROW(C13)-ROW(C$12),0)=0,"",OFFSET(PO!N$12,ROW(C13)-ROW(C$12),0))</f>
        <v>SERVIÇOS PRELIMINARES</v>
      </c>
      <c r="D13" s="111" t="str">
        <f ca="1">IF(OFFSET(PO!O$12,ROW(D13)-ROW(D$12),0)=0,"",OFFSET(PO!O$12,ROW(D13)-ROW(D$12),0))</f>
        <v/>
      </c>
      <c r="E13" s="140">
        <f ca="1">IF($A13&lt;&gt;"Serviço",0,ROUND(SUMIF($F$9:$P$9,"&lt;&gt;",$F13:$P13),15-13*PO!$X$3))</f>
        <v>0</v>
      </c>
      <c r="F13" s="358">
        <v>0</v>
      </c>
      <c r="G13" s="358"/>
      <c r="H13" s="358"/>
      <c r="I13" s="358"/>
      <c r="J13" s="358"/>
      <c r="K13" s="358"/>
      <c r="L13" s="358"/>
      <c r="M13" s="358"/>
      <c r="N13" s="358"/>
      <c r="O13" s="358"/>
      <c r="U13" s="182"/>
    </row>
    <row r="14" spans="1:21" s="1" customFormat="1" ht="12.75">
      <c r="A14" s="110" t="str">
        <f ca="1">OFFSET(PO!J$12,ROW(A14)-ROW($A$12),0)</f>
        <v>Serviço</v>
      </c>
      <c r="B14" s="112" t="str">
        <f ca="1">IF($A14=0,"",OFFSET(PO!K$12,ROW(B14)-ROW(B$12),0))</f>
        <v>1.1.</v>
      </c>
      <c r="C14" s="109" t="str">
        <f ca="1">IF(OFFSET(PO!N$12,ROW(C14)-ROW(C$12),0)=0,"",OFFSET(PO!N$12,ROW(C14)-ROW(C$12),0))</f>
        <v>PLACA DE OBRA EM CHAPA DE ACO GALVANIZADO</v>
      </c>
      <c r="D14" s="111" t="str">
        <f ca="1">IF(OFFSET(PO!O$12,ROW(D14)-ROW(D$12),0)=0,"",OFFSET(PO!O$12,ROW(D14)-ROW(D$12),0))</f>
        <v>M2</v>
      </c>
      <c r="E14" s="140">
        <f ca="1">IF($A14&lt;&gt;"Serviço",0,ROUND(SUMIF($F$9:$P$9,"&lt;&gt;",$F14:$P14),15-13*PO!$X$3))</f>
        <v>2.5</v>
      </c>
      <c r="F14" s="358">
        <v>2.5</v>
      </c>
      <c r="G14" s="358"/>
      <c r="H14" s="358"/>
      <c r="I14" s="358"/>
      <c r="J14" s="358"/>
      <c r="K14" s="358"/>
      <c r="L14" s="358"/>
      <c r="M14" s="358"/>
      <c r="N14" s="358"/>
      <c r="O14" s="358"/>
      <c r="U14" s="182"/>
    </row>
    <row r="15" spans="1:21" s="1" customFormat="1" ht="13.6">
      <c r="A15" s="110" t="str">
        <f ca="1">OFFSET(PO!J$12,ROW(A15)-ROW($A$12),0)</f>
        <v>Meta</v>
      </c>
      <c r="B15" s="112" t="str">
        <f ca="1">IF($A15=0,"",OFFSET(PO!K$12,ROW(B15)-ROW(B$12),0))</f>
        <v>2.</v>
      </c>
      <c r="C15" s="109" t="str">
        <f ca="1">IF(OFFSET(PO!N$12,ROW(C15)-ROW(C$12),0)=0,"",OFFSET(PO!N$12,ROW(C15)-ROW(C$12),0))</f>
        <v>DRENAGEM - Rede de esgoto Pluvial e Sarjetas</v>
      </c>
      <c r="D15" s="111" t="str">
        <f ca="1">IF(OFFSET(PO!O$12,ROW(D15)-ROW(D$12),0)=0,"",OFFSET(PO!O$12,ROW(D15)-ROW(D$12),0))</f>
        <v/>
      </c>
      <c r="E15" s="140">
        <f ca="1">IF($A15&lt;&gt;"Serviço",0,ROUND(SUMIF($F$9:$P$9,"&lt;&gt;",$F15:$P15),15-13*PO!$X$3))</f>
        <v>0</v>
      </c>
      <c r="F15" s="358">
        <v>0</v>
      </c>
      <c r="G15" s="358"/>
      <c r="H15" s="358"/>
      <c r="I15" s="358"/>
      <c r="J15" s="358"/>
      <c r="K15" s="358"/>
      <c r="L15" s="358"/>
      <c r="M15" s="358"/>
      <c r="N15" s="358"/>
      <c r="O15" s="358"/>
      <c r="U15" s="182"/>
    </row>
    <row r="16" spans="1:21" s="1" customFormat="1" ht="12.75">
      <c r="A16" s="110" t="str">
        <f ca="1">OFFSET(PO!J$12,ROW(A16)-ROW($A$12),0)</f>
        <v>Serviço</v>
      </c>
      <c r="B16" s="112" t="str">
        <f ca="1">IF($A16=0,"",OFFSET(PO!K$12,ROW(B16)-ROW(B$12),0))</f>
        <v>2.1.</v>
      </c>
      <c r="C16" s="109" t="str">
        <f ca="1">IF(OFFSET(PO!N$12,ROW(C16)-ROW(C$12),0)=0,"",OFFSET(PO!N$12,ROW(C16)-ROW(C$12),0))</f>
        <v>SARJETA DE CONCRETO</v>
      </c>
      <c r="D16" s="111" t="str">
        <f ca="1">IF(OFFSET(PO!O$12,ROW(D16)-ROW(D$12),0)=0,"",OFFSET(PO!O$12,ROW(D16)-ROW(D$12),0))</f>
        <v>M</v>
      </c>
      <c r="E16" s="140">
        <f ca="1">IF($A16&lt;&gt;"Serviço",0,ROUND(SUMIF($F$9:$P$9,"&lt;&gt;",$F16:$P16),15-13*PO!$X$3))</f>
        <v>439.4</v>
      </c>
      <c r="F16" s="358">
        <v>439.4</v>
      </c>
      <c r="G16" s="358"/>
      <c r="H16" s="358"/>
      <c r="I16" s="358">
        <v>207</v>
      </c>
      <c r="J16" s="358"/>
      <c r="K16" s="358"/>
      <c r="L16" s="358"/>
      <c r="M16" s="358"/>
      <c r="N16" s="358"/>
      <c r="O16" s="358"/>
      <c r="U16" s="182"/>
    </row>
    <row r="17" spans="1:21" s="1" customFormat="1" ht="12.75">
      <c r="A17" s="110" t="str">
        <f ca="1">OFFSET(PO!J$12,ROW(A17)-ROW($A$12),0)</f>
        <v>Serviço</v>
      </c>
      <c r="B17" s="112" t="str">
        <f ca="1">IF($A17=0,"",OFFSET(PO!K$12,ROW(B17)-ROW(B$12),0))</f>
        <v>2.2.</v>
      </c>
      <c r="C17" s="109" t="str">
        <f ca="1">IF(OFFSET(PO!N$12,ROW(C17)-ROW(C$12),0)=0,"",OFFSET(PO!N$12,ROW(C17)-ROW(C$12),0))</f>
        <v>ESCAVAÇÃO VERTICAL A CÉU ABERTO, INCLUINDO CARGA, DESCARGA E TRANSPORTE, EM SOLO DE 1ª CATEGORIA COM ESCAVADEIRA HIDRÁULICA (CAÇAMBA: 0,8 M³ / 111 HP), FROTA DE 3 CAMINHÕES BASCULANTES DE 14 M³, DMT DE 1 KM E VELOCIDADE MÉDIA 15 KM/H. AF_12/2013</v>
      </c>
      <c r="D17" s="111" t="str">
        <f ca="1">IF(OFFSET(PO!O$12,ROW(D17)-ROW(D$12),0)=0,"",OFFSET(PO!O$12,ROW(D17)-ROW(D$12),0))</f>
        <v>M3</v>
      </c>
      <c r="E17" s="140">
        <f ca="1">IF($A17&lt;&gt;"Serviço",0,ROUND(SUMIF($F$9:$P$9,"&lt;&gt;",$F17:$P17),15-13*PO!$X$3))</f>
        <v>93.93</v>
      </c>
      <c r="F17" s="358">
        <v>93.93</v>
      </c>
      <c r="G17" s="358"/>
      <c r="H17" s="358"/>
      <c r="I17" s="358"/>
      <c r="J17" s="358"/>
      <c r="K17" s="358"/>
      <c r="L17" s="358"/>
      <c r="M17" s="358"/>
      <c r="N17" s="358"/>
      <c r="O17" s="358"/>
      <c r="U17" s="182"/>
    </row>
    <row r="18" spans="1:21" s="1" customFormat="1" ht="12.75">
      <c r="A18" s="110" t="str">
        <f ca="1">OFFSET(PO!J$12,ROW(A18)-ROW($A$12),0)</f>
        <v>Serviço</v>
      </c>
      <c r="B18" s="112" t="str">
        <f ca="1">IF($A18=0,"",OFFSET(PO!K$12,ROW(B18)-ROW(B$12),0))</f>
        <v>2.3.</v>
      </c>
      <c r="C18" s="109" t="str">
        <f ca="1">IF(OFFSET(PO!N$12,ROW(C18)-ROW(C$12),0)=0,"",OFFSET(PO!N$12,ROW(C18)-ROW(C$12),0))</f>
        <v>REATERRO MANUAL DE VALAS COM COMPACTAÇÃO MECANIZADA. AF_04/2016</v>
      </c>
      <c r="D18" s="111" t="str">
        <f ca="1">IF(OFFSET(PO!O$12,ROW(D18)-ROW(D$12),0)=0,"",OFFSET(PO!O$12,ROW(D18)-ROW(D$12),0))</f>
        <v>M3</v>
      </c>
      <c r="E18" s="140">
        <f ca="1">IF($A18&lt;&gt;"Serviço",0,ROUND(SUMIF($F$9:$P$9,"&lt;&gt;",$F18:$P18),15-13*PO!$X$3))</f>
        <v>75.5</v>
      </c>
      <c r="F18" s="358">
        <v>75.5</v>
      </c>
      <c r="G18" s="358"/>
      <c r="H18" s="358"/>
      <c r="I18" s="358"/>
      <c r="J18" s="358"/>
      <c r="K18" s="358"/>
      <c r="L18" s="358"/>
      <c r="M18" s="358"/>
      <c r="N18" s="358"/>
      <c r="O18" s="358"/>
      <c r="U18" s="182"/>
    </row>
    <row r="19" spans="1:21" s="1" customFormat="1" ht="12.75">
      <c r="A19" s="110" t="str">
        <f ca="1">OFFSET(PO!J$12,ROW(A19)-ROW($A$12),0)</f>
        <v>Serviço</v>
      </c>
      <c r="B19" s="112" t="str">
        <f ca="1">IF($A19=0,"",OFFSET(PO!K$12,ROW(B19)-ROW(B$12),0))</f>
        <v>2.4.</v>
      </c>
      <c r="C19" s="109" t="str">
        <f ca="1">IF(OFFSET(PO!N$12,ROW(C19)-ROW(C$12),0)=0,"",OFFSET(PO!N$12,ROW(C19)-ROW(C$12),0))</f>
        <v>TUBO DE CONCRETO PARA REDES COLETORAS DE ÁGUAS PLUVIAIS, DIÂMETRO DE 400 MM, JUNTA RÍGIDA, INSTALADO EM LOCAL COM BAIXO NÍVEL DE INTERFERÊNCIAS - FORNECIMENTO E ASSENTAMENTO. AF_12/2015</v>
      </c>
      <c r="D19" s="111" t="str">
        <f ca="1">IF(OFFSET(PO!O$12,ROW(D19)-ROW(D$12),0)=0,"",OFFSET(PO!O$12,ROW(D19)-ROW(D$12),0))</f>
        <v>M</v>
      </c>
      <c r="E19" s="140">
        <f ca="1">IF($A19&lt;&gt;"Serviço",0,ROUND(SUMIF($F$9:$P$9,"&lt;&gt;",$F19:$P19),15-13*PO!$X$3))</f>
        <v>90.7</v>
      </c>
      <c r="F19" s="358">
        <v>90.7</v>
      </c>
      <c r="G19" s="358"/>
      <c r="H19" s="358"/>
      <c r="I19" s="358"/>
      <c r="J19" s="358"/>
      <c r="K19" s="358"/>
      <c r="L19" s="358"/>
      <c r="M19" s="358"/>
      <c r="N19" s="358"/>
      <c r="O19" s="358"/>
      <c r="U19" s="182"/>
    </row>
    <row r="20" spans="1:21" s="1" customFormat="1" ht="12.75">
      <c r="A20" s="110" t="str">
        <f ca="1">OFFSET(PO!J$12,ROW(A20)-ROW($A$12),0)</f>
        <v>Serviço</v>
      </c>
      <c r="B20" s="112" t="str">
        <f ca="1">IF($A20=0,"",OFFSET(PO!K$12,ROW(B20)-ROW(B$12),0))</f>
        <v>2.5.</v>
      </c>
      <c r="C20" s="109" t="str">
        <f ca="1">IF(OFFSET(PO!N$12,ROW(C20)-ROW(C$12),0)=0,"",OFFSET(PO!N$12,ROW(C20)-ROW(C$12),0))</f>
        <v>TUBO CONCRETO ARMADO, CLASSE PA-1, PB, DN 400 MM, PARA AGUAS PLUVIAIS (NBR 8890)</v>
      </c>
      <c r="D20" s="111" t="str">
        <f ca="1">IF(OFFSET(PO!O$12,ROW(D20)-ROW(D$12),0)=0,"",OFFSET(PO!O$12,ROW(D20)-ROW(D$12),0))</f>
        <v>M</v>
      </c>
      <c r="E20" s="140">
        <f ca="1">IF($A20&lt;&gt;"Serviço",0,ROUND(SUMIF($F$9:$P$9,"&lt;&gt;",$F20:$P20),15-13*PO!$X$3))</f>
        <v>56.07</v>
      </c>
      <c r="F20" s="358">
        <v>56.07</v>
      </c>
      <c r="G20" s="358"/>
      <c r="H20" s="358"/>
      <c r="I20" s="358"/>
      <c r="J20" s="358"/>
      <c r="K20" s="358"/>
      <c r="L20" s="358"/>
      <c r="M20" s="358"/>
      <c r="N20" s="358"/>
      <c r="O20" s="358"/>
      <c r="U20" s="182"/>
    </row>
    <row r="21" spans="1:21" s="1" customFormat="1" ht="12.75">
      <c r="A21" s="110" t="str">
        <f ca="1">OFFSET(PO!J$12,ROW(A21)-ROW($A$12),0)</f>
        <v>Serviço</v>
      </c>
      <c r="B21" s="112" t="str">
        <f ca="1">IF($A21=0,"",OFFSET(PO!K$12,ROW(B21)-ROW(B$12),0))</f>
        <v>2.6.</v>
      </c>
      <c r="C21" s="109" t="str">
        <f ca="1">IF(OFFSET(PO!N$12,ROW(C21)-ROW(C$12),0)=0,"",OFFSET(PO!N$12,ROW(C21)-ROW(C$12),0))</f>
        <v>ASSENTAMENTO DE TUBO DE CONCRETO PARA REDES COLETORAS DE ÁGUAS PLUVIAIS, DIÂMETRO DE 400 MM, JUNTA RÍGIDA, INSTALADO EM LOCAL COM BAIXO NÍVEL DE INTERFERÊNCIAS (NÃO INCLUI FORNECIMENTO). AF_12/2015</v>
      </c>
      <c r="D21" s="111" t="str">
        <f ca="1">IF(OFFSET(PO!O$12,ROW(D21)-ROW(D$12),0)=0,"",OFFSET(PO!O$12,ROW(D21)-ROW(D$12),0))</f>
        <v>M</v>
      </c>
      <c r="E21" s="140">
        <f ca="1">IF($A21&lt;&gt;"Serviço",0,ROUND(SUMIF($F$9:$P$9,"&lt;&gt;",$F21:$P21),15-13*PO!$X$3))</f>
        <v>56</v>
      </c>
      <c r="F21" s="358">
        <v>56</v>
      </c>
      <c r="G21" s="358"/>
      <c r="H21" s="358"/>
      <c r="I21" s="358"/>
      <c r="J21" s="358"/>
      <c r="K21" s="358"/>
      <c r="L21" s="358"/>
      <c r="M21" s="358"/>
      <c r="N21" s="358"/>
      <c r="O21" s="358"/>
      <c r="U21" s="182"/>
    </row>
    <row r="22" spans="1:21" s="1" customFormat="1" ht="12.75">
      <c r="A22" s="110" t="str">
        <f ca="1">OFFSET(PO!J$12,ROW(A22)-ROW($A$12),0)</f>
        <v>Serviço</v>
      </c>
      <c r="B22" s="112" t="str">
        <f ca="1">IF($A22=0,"",OFFSET(PO!K$12,ROW(B22)-ROW(B$12),0))</f>
        <v>2.7.</v>
      </c>
      <c r="C22" s="109" t="str">
        <f ca="1">IF(OFFSET(PO!N$12,ROW(C22)-ROW(C$12),0)=0,"",OFFSET(PO!N$12,ROW(C22)-ROW(C$12),0))</f>
        <v>REASSENTAMENTO DE PARALELEPÍPEDO</v>
      </c>
      <c r="D22" s="111" t="str">
        <f ca="1">IF(OFFSET(PO!O$12,ROW(D22)-ROW(D$12),0)=0,"",OFFSET(PO!O$12,ROW(D22)-ROW(D$12),0))</f>
        <v>M2</v>
      </c>
      <c r="E22" s="140">
        <f ca="1">IF($A22&lt;&gt;"Serviço",0,ROUND(SUMIF($F$9:$P$9,"&lt;&gt;",$F22:$P22),15-13*PO!$X$3))</f>
        <v>117.42</v>
      </c>
      <c r="F22" s="358">
        <v>117.42</v>
      </c>
      <c r="G22" s="358"/>
      <c r="H22" s="358"/>
      <c r="I22" s="358"/>
      <c r="J22" s="358"/>
      <c r="K22" s="358"/>
      <c r="L22" s="358"/>
      <c r="M22" s="358"/>
      <c r="N22" s="358"/>
      <c r="O22" s="358"/>
      <c r="U22" s="182"/>
    </row>
    <row r="23" spans="1:21" s="1" customFormat="1" ht="12.75">
      <c r="A23" s="110" t="str">
        <f ca="1">OFFSET(PO!J$12,ROW(A23)-ROW($A$12),0)</f>
        <v>Serviço</v>
      </c>
      <c r="B23" s="112" t="str">
        <f ca="1">IF($A23=0,"",OFFSET(PO!K$12,ROW(B23)-ROW(B$12),0))</f>
        <v>2.8.</v>
      </c>
      <c r="C23" s="109" t="str">
        <f ca="1">IF(OFFSET(PO!N$12,ROW(C23)-ROW(C$12),0)=0,"",OFFSET(PO!N$12,ROW(C23)-ROW(C$12),0))</f>
        <v>BOCA DE LOBO</v>
      </c>
      <c r="D23" s="111" t="str">
        <f ca="1">IF(OFFSET(PO!O$12,ROW(D23)-ROW(D$12),0)=0,"",OFFSET(PO!O$12,ROW(D23)-ROW(D$12),0))</f>
        <v>UNIDADE</v>
      </c>
      <c r="E23" s="140">
        <f ca="1">IF($A23&lt;&gt;"Serviço",0,ROUND(SUMIF($F$9:$P$9,"&lt;&gt;",$F23:$P23),15-13*PO!$X$3))</f>
        <v>5</v>
      </c>
      <c r="F23" s="358">
        <v>5</v>
      </c>
      <c r="G23" s="358"/>
      <c r="H23" s="358"/>
      <c r="I23" s="358"/>
      <c r="J23" s="358"/>
      <c r="K23" s="358"/>
      <c r="L23" s="358"/>
      <c r="M23" s="358"/>
      <c r="N23" s="358"/>
      <c r="O23" s="358"/>
      <c r="U23" s="182"/>
    </row>
    <row r="24" spans="1:21" s="1" customFormat="1" ht="13.6">
      <c r="A24" s="110" t="str">
        <f ca="1">OFFSET(PO!J$12,ROW(A24)-ROW($A$12),0)</f>
        <v>Meta</v>
      </c>
      <c r="B24" s="112" t="str">
        <f ca="1">IF($A24=0,"",OFFSET(PO!K$12,ROW(B24)-ROW(B$12),0))</f>
        <v>3.</v>
      </c>
      <c r="C24" s="109" t="str">
        <f ca="1">IF(OFFSET(PO!N$12,ROW(C24)-ROW(C$12),0)=0,"",OFFSET(PO!N$12,ROW(C24)-ROW(C$12),0))</f>
        <v xml:space="preserve">PAVIMENTAÇÃO </v>
      </c>
      <c r="D24" s="111" t="str">
        <f ca="1">IF(OFFSET(PO!O$12,ROW(D24)-ROW(D$12),0)=0,"",OFFSET(PO!O$12,ROW(D24)-ROW(D$12),0))</f>
        <v/>
      </c>
      <c r="E24" s="140">
        <f ca="1">IF($A24&lt;&gt;"Serviço",0,ROUND(SUMIF($F$9:$P$9,"&lt;&gt;",$F24:$P24),15-13*PO!$X$3))</f>
        <v>0</v>
      </c>
      <c r="F24" s="358">
        <v>0</v>
      </c>
      <c r="G24" s="358"/>
      <c r="H24" s="358"/>
      <c r="I24" s="358"/>
      <c r="J24" s="358"/>
      <c r="K24" s="358"/>
      <c r="L24" s="358"/>
      <c r="M24" s="358"/>
      <c r="N24" s="358"/>
      <c r="O24" s="358"/>
      <c r="U24" s="182"/>
    </row>
    <row r="25" spans="1:21" s="1" customFormat="1" ht="12.75">
      <c r="A25" s="110" t="str">
        <f ca="1">OFFSET(PO!J$12,ROW(A25)-ROW($A$12),0)</f>
        <v>Serviço</v>
      </c>
      <c r="B25" s="112" t="str">
        <f ca="1">IF($A25=0,"",OFFSET(PO!K$12,ROW(B25)-ROW(B$12),0))</f>
        <v>3.1.</v>
      </c>
      <c r="C25" s="109" t="str">
        <f ca="1">IF(OFFSET(PO!N$12,ROW(C25)-ROW(C$12),0)=0,"",OFFSET(PO!N$12,ROW(C25)-ROW(C$12),0))</f>
        <v>PINTURA DE LIGACAO COM EMULSAO RR-1C</v>
      </c>
      <c r="D25" s="111" t="str">
        <f ca="1">IF(OFFSET(PO!O$12,ROW(D25)-ROW(D$12),0)=0,"",OFFSET(PO!O$12,ROW(D25)-ROW(D$12),0))</f>
        <v>M2</v>
      </c>
      <c r="E25" s="140">
        <f ca="1">IF($A25&lt;&gt;"Serviço",0,ROUND(SUMIF($F$9:$P$9,"&lt;&gt;",$F25:$P25),15-13*PO!$X$3))</f>
        <v>3347.9</v>
      </c>
      <c r="F25" s="358">
        <v>3347.9</v>
      </c>
      <c r="G25" s="358"/>
      <c r="H25" s="358"/>
      <c r="I25" s="358">
        <v>983.25</v>
      </c>
      <c r="J25" s="358"/>
      <c r="K25" s="358"/>
      <c r="L25" s="358"/>
      <c r="M25" s="358"/>
      <c r="N25" s="358"/>
      <c r="O25" s="358"/>
      <c r="U25" s="182"/>
    </row>
    <row r="26" spans="1:21" s="1" customFormat="1" ht="12.75">
      <c r="A26" s="110" t="str">
        <f ca="1">OFFSET(PO!J$12,ROW(A26)-ROW($A$12),0)</f>
        <v>Serviço</v>
      </c>
      <c r="B26" s="112" t="str">
        <f ca="1">IF($A26=0,"",OFFSET(PO!K$12,ROW(B26)-ROW(B$12),0))</f>
        <v>3.2.</v>
      </c>
      <c r="C26" s="109" t="str">
        <f ca="1">IF(OFFSET(PO!N$12,ROW(C26)-ROW(C$12),0)=0,"",OFFSET(PO!N$12,ROW(C26)-ROW(C$12),0))</f>
        <v>EXECUÇÃO E COMPACTAÇÃO DE BASE E OU SUB BASE COM BRITA GRADUADA SIMPLES - EXCLUSIVE CARGA E TRANSPORTE. AF_09/2017</v>
      </c>
      <c r="D26" s="111" t="str">
        <f ca="1">IF(OFFSET(PO!O$12,ROW(D26)-ROW(D$12),0)=0,"",OFFSET(PO!O$12,ROW(D26)-ROW(D$12),0))</f>
        <v>M3</v>
      </c>
      <c r="E26" s="140">
        <f ca="1">IF($A26&lt;&gt;"Serviço",0,ROUND(SUMIF($F$9:$P$9,"&lt;&gt;",$F26:$P26),15-13*PO!$X$3))</f>
        <v>66.96</v>
      </c>
      <c r="F26" s="358">
        <v>66.96</v>
      </c>
      <c r="G26" s="358"/>
      <c r="H26" s="358"/>
      <c r="I26" s="358"/>
      <c r="J26" s="358"/>
      <c r="K26" s="358"/>
      <c r="L26" s="358"/>
      <c r="M26" s="358"/>
      <c r="N26" s="358"/>
      <c r="O26" s="358"/>
      <c r="U26" s="182"/>
    </row>
    <row r="27" spans="1:21" s="1" customFormat="1" ht="12.75">
      <c r="A27" s="110" t="str">
        <f ca="1">OFFSET(PO!J$12,ROW(A27)-ROW($A$12),0)</f>
        <v>Serviço</v>
      </c>
      <c r="B27" s="112" t="str">
        <f ca="1">IF($A27=0,"",OFFSET(PO!K$12,ROW(B27)-ROW(B$12),0))</f>
        <v>3.3.</v>
      </c>
      <c r="C27" s="109" t="str">
        <f ca="1">IF(OFFSET(PO!N$12,ROW(C27)-ROW(C$12),0)=0,"",OFFSET(PO!N$12,ROW(C27)-ROW(C$12),0))</f>
        <v>CONSTRUÇÃO DE PAVIMENTO COM APLICAÇÃO DE CBUQ,  BINDER, e:4,0CM</v>
      </c>
      <c r="D27" s="111" t="str">
        <f ca="1">IF(OFFSET(PO!O$12,ROW(D27)-ROW(D$12),0)=0,"",OFFSET(PO!O$12,ROW(D27)-ROW(D$12),0))</f>
        <v>M³</v>
      </c>
      <c r="E27" s="140">
        <f ca="1">IF($A27&lt;&gt;"Serviço",0,ROUND(SUMIF($F$9:$P$9,"&lt;&gt;",$F27:$P27),15-13*PO!$X$3))</f>
        <v>133.92</v>
      </c>
      <c r="F27" s="358">
        <v>133.92</v>
      </c>
      <c r="G27" s="358"/>
      <c r="H27" s="358"/>
      <c r="I27" s="358">
        <f>I25*0.03</f>
        <v>29.4975</v>
      </c>
      <c r="J27" s="358"/>
      <c r="K27" s="358"/>
      <c r="L27" s="358"/>
      <c r="M27" s="358"/>
      <c r="N27" s="358"/>
      <c r="O27" s="358"/>
      <c r="U27" s="182"/>
    </row>
    <row r="28" spans="1:21" s="1" customFormat="1" ht="12.75">
      <c r="A28" s="110" t="str">
        <f ca="1">OFFSET(PO!J$12,ROW(A28)-ROW($A$12),0)</f>
        <v>Serviço</v>
      </c>
      <c r="B28" s="112" t="str">
        <f ca="1">IF($A28=0,"",OFFSET(PO!K$12,ROW(B28)-ROW(B$12),0))</f>
        <v>3.4.</v>
      </c>
      <c r="C28" s="109" t="str">
        <f ca="1">IF(OFFSET(PO!N$12,ROW(C28)-ROW(C$12),0)=0,"",OFFSET(PO!N$12,ROW(C28)-ROW(C$12),0))</f>
        <v>TRANSPORTE COM CAMINHÃO BASCULANTE DE 10 M3, EM VIA URBANA PAVIMENTADA, DMT ACIMA DE 30KM (UNIDADE: M3XKM). AF_04/2016</v>
      </c>
      <c r="D28" s="111" t="str">
        <f ca="1">IF(OFFSET(PO!O$12,ROW(D28)-ROW(D$12),0)=0,"",OFFSET(PO!O$12,ROW(D28)-ROW(D$12),0))</f>
        <v>M3XKM</v>
      </c>
      <c r="E28" s="140">
        <f ca="1">IF($A28&lt;&gt;"Serviço",0,ROUND(SUMIF($F$9:$P$9,"&lt;&gt;",$F28:$P28),15-13*PO!$X$3))</f>
        <v>3763.04</v>
      </c>
      <c r="F28" s="358">
        <v>3763.04</v>
      </c>
      <c r="G28" s="358"/>
      <c r="H28" s="358"/>
      <c r="I28" s="358">
        <f>I27*28.1</f>
        <v>828.8797500000001</v>
      </c>
      <c r="J28" s="358"/>
      <c r="K28" s="358"/>
      <c r="L28" s="358"/>
      <c r="M28" s="358"/>
      <c r="N28" s="358"/>
      <c r="O28" s="358"/>
      <c r="U28" s="182"/>
    </row>
    <row r="29" spans="1:21" s="1" customFormat="1" ht="12.75">
      <c r="A29" s="110" t="str">
        <f ca="1">OFFSET(PO!J$12,ROW(A29)-ROW($A$12),0)</f>
        <v>Serviço</v>
      </c>
      <c r="B29" s="112" t="str">
        <f ca="1">IF($A29=0,"",OFFSET(PO!K$12,ROW(B29)-ROW(B$12),0))</f>
        <v>3.5.</v>
      </c>
      <c r="C29" s="109" t="str">
        <f ca="1">IF(OFFSET(PO!N$12,ROW(C29)-ROW(C$12),0)=0,"",OFFSET(PO!N$12,ROW(C29)-ROW(C$12),0))</f>
        <v>PINTURA DE LIGACAO COM EMULSAO RR-1C</v>
      </c>
      <c r="D29" s="111" t="str">
        <f ca="1">IF(OFFSET(PO!O$12,ROW(D29)-ROW(D$12),0)=0,"",OFFSET(PO!O$12,ROW(D29)-ROW(D$12),0))</f>
        <v>M2</v>
      </c>
      <c r="E29" s="140">
        <f ca="1">IF($A29&lt;&gt;"Serviço",0,ROUND(SUMIF($F$9:$P$9,"&lt;&gt;",$F29:$P29),15-13*PO!$X$3))</f>
        <v>3347.9</v>
      </c>
      <c r="F29" s="358">
        <v>3347.9</v>
      </c>
      <c r="G29" s="358"/>
      <c r="H29" s="358"/>
      <c r="I29" s="358">
        <f>I25</f>
        <v>983.25</v>
      </c>
      <c r="J29" s="358"/>
      <c r="K29" s="358"/>
      <c r="L29" s="358"/>
      <c r="M29" s="358"/>
      <c r="N29" s="358"/>
      <c r="O29" s="358"/>
      <c r="U29" s="182"/>
    </row>
    <row r="30" spans="1:21" s="1" customFormat="1" ht="12.75">
      <c r="A30" s="110" t="str">
        <f ca="1">OFFSET(PO!J$12,ROW(A30)-ROW($A$12),0)</f>
        <v>Serviço</v>
      </c>
      <c r="B30" s="112" t="str">
        <f ca="1">IF($A30=0,"",OFFSET(PO!K$12,ROW(B30)-ROW(B$12),0))</f>
        <v>3.6.</v>
      </c>
      <c r="C30" s="109" t="str">
        <f ca="1">IF(OFFSET(PO!N$12,ROW(C30)-ROW(C$12),0)=0,"",OFFSET(PO!N$12,ROW(C30)-ROW(C$12),0))</f>
        <v>CONSTRUÇÃO DE PAVIMENTO COM APLICAÇÃO DE CBUQ, CAMADA DE ROLAMENTO, e:3,0CM</v>
      </c>
      <c r="D30" s="111" t="str">
        <f ca="1">IF(OFFSET(PO!O$12,ROW(D30)-ROW(D$12),0)=0,"",OFFSET(PO!O$12,ROW(D30)-ROW(D$12),0))</f>
        <v>M³</v>
      </c>
      <c r="E30" s="140">
        <f ca="1">IF($A30&lt;&gt;"Serviço",0,ROUND(SUMIF($F$9:$P$9,"&lt;&gt;",$F30:$P30),15-13*PO!$X$3))</f>
        <v>100.44</v>
      </c>
      <c r="F30" s="358">
        <v>100.44</v>
      </c>
      <c r="G30" s="358"/>
      <c r="H30" s="358"/>
      <c r="I30" s="358">
        <f>I27</f>
        <v>29.4975</v>
      </c>
      <c r="J30" s="358"/>
      <c r="K30" s="358"/>
      <c r="L30" s="358"/>
      <c r="M30" s="358"/>
      <c r="N30" s="358"/>
      <c r="O30" s="358"/>
      <c r="U30" s="182"/>
    </row>
    <row r="31" spans="1:21" s="1" customFormat="1" ht="12.75">
      <c r="A31" s="110" t="str">
        <f ca="1">OFFSET(PO!J$12,ROW(A31)-ROW($A$12),0)</f>
        <v>Serviço</v>
      </c>
      <c r="B31" s="112" t="str">
        <f ca="1">IF($A31=0,"",OFFSET(PO!K$12,ROW(B31)-ROW(B$12),0))</f>
        <v>3.7.</v>
      </c>
      <c r="C31" s="109" t="str">
        <f ca="1">IF(OFFSET(PO!N$12,ROW(C31)-ROW(C$12),0)=0,"",OFFSET(PO!N$12,ROW(C31)-ROW(C$12),0))</f>
        <v>TRANSPORTE COM CAMINHÃO BASCULANTE DE 10 M3, EM VIA URBANA PAVIMENTADA, DMT ACIMA DE 30KM (UNIDADE: M3XKM). AF_04/2016</v>
      </c>
      <c r="D31" s="111" t="str">
        <f ca="1">IF(OFFSET(PO!O$12,ROW(D31)-ROW(D$12),0)=0,"",OFFSET(PO!O$12,ROW(D31)-ROW(D$12),0))</f>
        <v>M3XKM</v>
      </c>
      <c r="E31" s="140">
        <f ca="1">IF($A31&lt;&gt;"Serviço",0,ROUND(SUMIF($F$9:$P$9,"&lt;&gt;",$F31:$P31),15-13*PO!$X$3))</f>
        <v>2822.28</v>
      </c>
      <c r="F31" s="358">
        <v>2822.28</v>
      </c>
      <c r="G31" s="358"/>
      <c r="H31" s="358"/>
      <c r="I31" s="358">
        <f>I28</f>
        <v>828.8797500000001</v>
      </c>
      <c r="J31" s="358"/>
      <c r="K31" s="358"/>
      <c r="L31" s="358"/>
      <c r="M31" s="358"/>
      <c r="N31" s="358"/>
      <c r="O31" s="358"/>
      <c r="U31" s="182"/>
    </row>
    <row r="32" spans="1:21" s="1" customFormat="1" ht="12.75">
      <c r="A32" s="110" t="str">
        <f ca="1">OFFSET(PO!J$12,ROW(A32)-ROW($A$12),0)</f>
        <v>Serviço</v>
      </c>
      <c r="B32" s="112" t="str">
        <f ca="1">IF($A32=0,"",OFFSET(PO!K$12,ROW(B32)-ROW(B$12),0))</f>
        <v>3.8.</v>
      </c>
      <c r="C32" s="109" t="str">
        <f ca="1">IF(OFFSET(PO!N$12,ROW(C32)-ROW(C$12),0)=0,"",OFFSET(PO!N$12,ROW(C32)-ROW(C$12),0))</f>
        <v>RAMPA DE ACESSO</v>
      </c>
      <c r="D32" s="111" t="str">
        <f ca="1">IF(OFFSET(PO!O$12,ROW(D32)-ROW(D$12),0)=0,"",OFFSET(PO!O$12,ROW(D32)-ROW(D$12),0))</f>
        <v>UNIDADE</v>
      </c>
      <c r="E32" s="140">
        <f ca="1">IF($A32&lt;&gt;"Serviço",0,ROUND(SUMIF($F$9:$P$9,"&lt;&gt;",$F32:$P32),15-13*PO!$X$3))</f>
        <v>8</v>
      </c>
      <c r="F32" s="358">
        <v>8</v>
      </c>
      <c r="G32" s="358"/>
      <c r="H32" s="358"/>
      <c r="I32" s="358"/>
      <c r="J32" s="358"/>
      <c r="K32" s="358"/>
      <c r="L32" s="358"/>
      <c r="M32" s="358"/>
      <c r="N32" s="358"/>
      <c r="O32" s="358"/>
      <c r="U32" s="182"/>
    </row>
    <row r="33" spans="1:21" s="1" customFormat="1" ht="13.6">
      <c r="A33" s="110" t="str">
        <f ca="1">OFFSET(PO!J$12,ROW(A33)-ROW($A$12),0)</f>
        <v>Meta</v>
      </c>
      <c r="B33" s="112" t="str">
        <f ca="1">IF($A33=0,"",OFFSET(PO!K$12,ROW(B33)-ROW(B$12),0))</f>
        <v>4.</v>
      </c>
      <c r="C33" s="109" t="str">
        <f ca="1">IF(OFFSET(PO!N$12,ROW(C33)-ROW(C$12),0)=0,"",OFFSET(PO!N$12,ROW(C33)-ROW(C$12),0))</f>
        <v>SINALIZAÇÃO</v>
      </c>
      <c r="D33" s="111" t="str">
        <f ca="1">IF(OFFSET(PO!O$12,ROW(D33)-ROW(D$12),0)=0,"",OFFSET(PO!O$12,ROW(D33)-ROW(D$12),0))</f>
        <v/>
      </c>
      <c r="E33" s="140">
        <f ca="1">IF($A33&lt;&gt;"Serviço",0,ROUND(SUMIF($F$9:$P$9,"&lt;&gt;",$F33:$P33),15-13*PO!$X$3))</f>
        <v>0</v>
      </c>
      <c r="F33" s="358">
        <v>0</v>
      </c>
      <c r="G33" s="358"/>
      <c r="H33" s="358"/>
      <c r="I33" s="358"/>
      <c r="J33" s="358"/>
      <c r="K33" s="358"/>
      <c r="L33" s="358"/>
      <c r="M33" s="358"/>
      <c r="N33" s="358"/>
      <c r="O33" s="358"/>
      <c r="U33" s="182"/>
    </row>
    <row r="34" spans="1:21" s="1" customFormat="1" ht="12.75">
      <c r="A34" s="110" t="str">
        <f ca="1">OFFSET(PO!J$12,ROW(A34)-ROW($A$12),0)</f>
        <v>Serviço</v>
      </c>
      <c r="B34" s="112" t="str">
        <f ca="1">IF($A34=0,"",OFFSET(PO!K$12,ROW(B34)-ROW(B$12),0))</f>
        <v>4.1.</v>
      </c>
      <c r="C34" s="109" t="str">
        <f ca="1">IF(OFFSET(PO!N$12,ROW(C34)-ROW(C$12),0)=0,"",OFFSET(PO!N$12,ROW(C34)-ROW(C$12),0))</f>
        <v>SINALIZACAO HORIZONTAL COM TINTA RETRORREFLETIVA A BASE DE RESINA ACRILICA COM MICROESFERAS DE VIDRO</v>
      </c>
      <c r="D34" s="111" t="str">
        <f ca="1">IF(OFFSET(PO!O$12,ROW(D34)-ROW(D$12),0)=0,"",OFFSET(PO!O$12,ROW(D34)-ROW(D$12),0))</f>
        <v>M2</v>
      </c>
      <c r="E34" s="140">
        <f ca="1">IF($A34&lt;&gt;"Serviço",0,ROUND(SUMIF($F$9:$P$9,"&lt;&gt;",$F34:$P34),15-13*PO!$X$3))</f>
        <v>117.36</v>
      </c>
      <c r="F34" s="358">
        <v>117.36</v>
      </c>
      <c r="G34" s="358"/>
      <c r="H34" s="358"/>
      <c r="I34" s="358">
        <v>51.74</v>
      </c>
      <c r="J34" s="358"/>
      <c r="K34" s="358"/>
      <c r="L34" s="358"/>
      <c r="M34" s="358"/>
      <c r="N34" s="358"/>
      <c r="O34" s="358"/>
      <c r="U34" s="182"/>
    </row>
    <row r="35" spans="1:21" s="1" customFormat="1" ht="12.75">
      <c r="A35" s="110" t="str">
        <f ca="1">OFFSET(PO!J$12,ROW(A35)-ROW($A$12),0)</f>
        <v>Serviço</v>
      </c>
      <c r="B35" s="112" t="str">
        <f ca="1">IF($A35=0,"",OFFSET(PO!K$12,ROW(B35)-ROW(B$12),0))</f>
        <v>4.2.</v>
      </c>
      <c r="C35" s="109" t="str">
        <f ca="1">IF(OFFSET(PO!N$12,ROW(C35)-ROW(C$12),0)=0,"",OFFSET(PO!N$12,ROW(C35)-ROW(C$12),0))</f>
        <v>ESCAVAÇÃO MANUAL DE VALA COM PROFUNDIDADE MENOR OU IGUAL A 1,30 M. AF_03/2016</v>
      </c>
      <c r="D35" s="111" t="str">
        <f ca="1">IF(OFFSET(PO!O$12,ROW(D35)-ROW(D$12),0)=0,"",OFFSET(PO!O$12,ROW(D35)-ROW(D$12),0))</f>
        <v>M3</v>
      </c>
      <c r="E35" s="140">
        <f ca="1">IF($A35&lt;&gt;"Serviço",0,ROUND(SUMIF($F$9:$P$9,"&lt;&gt;",$F35:$P35),15-13*PO!$X$3))</f>
        <v>0.5</v>
      </c>
      <c r="F35" s="358">
        <v>0.5</v>
      </c>
      <c r="G35" s="358"/>
      <c r="H35" s="358"/>
      <c r="I35" s="358">
        <v>0.093</v>
      </c>
      <c r="J35" s="358"/>
      <c r="K35" s="358"/>
      <c r="L35" s="358"/>
      <c r="M35" s="358"/>
      <c r="N35" s="358"/>
      <c r="O35" s="358"/>
      <c r="U35" s="182"/>
    </row>
    <row r="36" spans="1:21" s="1" customFormat="1" ht="12.75">
      <c r="A36" s="110" t="str">
        <f ca="1">OFFSET(PO!J$12,ROW(A36)-ROW($A$12),0)</f>
        <v>Serviço</v>
      </c>
      <c r="B36" s="112" t="str">
        <f ca="1">IF($A36=0,"",OFFSET(PO!K$12,ROW(B36)-ROW(B$12),0))</f>
        <v>4.3.</v>
      </c>
      <c r="C36" s="109" t="str">
        <f ca="1">IF(OFFSET(PO!N$12,ROW(C36)-ROW(C$12),0)=0,"",OFFSET(PO!N$12,ROW(C36)-ROW(C$12),0))</f>
        <v>CONCRETO FUNDAÇÕES DAS PLACAS</v>
      </c>
      <c r="D36" s="111" t="str">
        <f ca="1">IF(OFFSET(PO!O$12,ROW(D36)-ROW(D$12),0)=0,"",OFFSET(PO!O$12,ROW(D36)-ROW(D$12),0))</f>
        <v>M3</v>
      </c>
      <c r="E36" s="140">
        <f ca="1">IF($A36&lt;&gt;"Serviço",0,ROUND(SUMIF($F$9:$P$9,"&lt;&gt;",$F36:$P36),15-13*PO!$X$3))</f>
        <v>0.5</v>
      </c>
      <c r="F36" s="358">
        <v>0.5</v>
      </c>
      <c r="G36" s="358"/>
      <c r="H36" s="358"/>
      <c r="I36" s="358">
        <f>I35</f>
        <v>0.093</v>
      </c>
      <c r="J36" s="358"/>
      <c r="K36" s="358"/>
      <c r="L36" s="358"/>
      <c r="M36" s="358"/>
      <c r="N36" s="358"/>
      <c r="O36" s="358"/>
      <c r="U36" s="182"/>
    </row>
    <row r="37" spans="1:21" s="1" customFormat="1" ht="12.75">
      <c r="A37" s="110" t="str">
        <f ca="1">OFFSET(PO!J$12,ROW(A37)-ROW($A$12),0)</f>
        <v>Serviço</v>
      </c>
      <c r="B37" s="112" t="str">
        <f ca="1">IF($A37=0,"",OFFSET(PO!K$12,ROW(B37)-ROW(B$12),0))</f>
        <v>4.4.</v>
      </c>
      <c r="C37" s="109" t="str">
        <f ca="1">IF(OFFSET(PO!N$12,ROW(C37)-ROW(C$12),0)=0,"",OFFSET(PO!N$12,ROW(C37)-ROW(C$12),0))</f>
        <v>PLACA ESMALTADA PARA IDENTIFICAÇÃO NR DE RUA, DIMENSÕES 45X25CM</v>
      </c>
      <c r="D37" s="111" t="str">
        <f ca="1">IF(OFFSET(PO!O$12,ROW(D37)-ROW(D$12),0)=0,"",OFFSET(PO!O$12,ROW(D37)-ROW(D$12),0))</f>
        <v>UN</v>
      </c>
      <c r="E37" s="140">
        <f ca="1">IF($A37&lt;&gt;"Serviço",0,ROUND(SUMIF($F$9:$P$9,"&lt;&gt;",$F37:$P37),15-13*PO!$X$3))</f>
        <v>10</v>
      </c>
      <c r="F37" s="358">
        <v>10</v>
      </c>
      <c r="G37" s="358"/>
      <c r="H37" s="358"/>
      <c r="I37" s="358">
        <v>3</v>
      </c>
      <c r="J37" s="358"/>
      <c r="K37" s="358"/>
      <c r="L37" s="358"/>
      <c r="M37" s="358"/>
      <c r="N37" s="358"/>
      <c r="O37" s="358"/>
      <c r="U37" s="182"/>
    </row>
    <row r="38" spans="1:21" s="1" customFormat="1" ht="12.75">
      <c r="A38" s="110" t="str">
        <f ca="1">OFFSET(PO!J$12,ROW(A38)-ROW($A$12),0)</f>
        <v>Serviço</v>
      </c>
      <c r="B38" s="112" t="str">
        <f ca="1">IF($A38=0,"",OFFSET(PO!K$12,ROW(B38)-ROW(B$12),0))</f>
        <v>4.5.</v>
      </c>
      <c r="C38" s="109" t="str">
        <f ca="1">IF(OFFSET(PO!N$12,ROW(C38)-ROW(C$12),0)=0,"",OFFSET(PO!N$12,ROW(C38)-ROW(C$12),0))</f>
        <v>PLACA DE SINALIZACAO EM CHAPA DE ALUMINIO COM PINTURA REFLETIVA, E = 2 MM</v>
      </c>
      <c r="D38" s="111" t="str">
        <f ca="1">IF(OFFSET(PO!O$12,ROW(D38)-ROW(D$12),0)=0,"",OFFSET(PO!O$12,ROW(D38)-ROW(D$12),0))</f>
        <v>M2</v>
      </c>
      <c r="E38" s="140">
        <f ca="1">IF($A38&lt;&gt;"Serviço",0,ROUND(SUMIF($F$9:$P$9,"&lt;&gt;",$F38:$P38),15-13*PO!$X$3))</f>
        <v>1.42</v>
      </c>
      <c r="F38" s="358">
        <v>1.42</v>
      </c>
      <c r="G38" s="358"/>
      <c r="H38" s="358"/>
      <c r="I38" s="358"/>
      <c r="J38" s="358"/>
      <c r="K38" s="358"/>
      <c r="L38" s="358"/>
      <c r="M38" s="358"/>
      <c r="N38" s="358"/>
      <c r="O38" s="358"/>
      <c r="U38" s="182"/>
    </row>
    <row r="39" spans="1:21" s="1" customFormat="1" ht="12.75">
      <c r="A39" s="110" t="str">
        <f ca="1">OFFSET(PO!J$12,ROW(A39)-ROW($A$12),0)</f>
        <v>Serviço</v>
      </c>
      <c r="B39" s="112" t="str">
        <f ca="1">IF($A39=0,"",OFFSET(PO!K$12,ROW(B39)-ROW(B$12),0))</f>
        <v>4.6.</v>
      </c>
      <c r="C39" s="109" t="str">
        <f ca="1">IF(OFFSET(PO!N$12,ROW(C39)-ROW(C$12),0)=0,"",OFFSET(PO!N$12,ROW(C39)-ROW(C$12),0))</f>
        <v>TUBO ACO GALVANIZADO COM COSTURA, CLASSE LEVE, DN 50 MM ( 2"),  E = 3,00 MM,  *4,40* KG/M (NBR 5580)</v>
      </c>
      <c r="D39" s="111" t="str">
        <f ca="1">IF(OFFSET(PO!O$12,ROW(D39)-ROW(D$12),0)=0,"",OFFSET(PO!O$12,ROW(D39)-ROW(D$12),0))</f>
        <v>M</v>
      </c>
      <c r="E39" s="140">
        <f ca="1">IF($A39&lt;&gt;"Serviço",0,ROUND(SUMIF($F$9:$P$9,"&lt;&gt;",$F39:$P39),15-13*PO!$X$3))</f>
        <v>48</v>
      </c>
      <c r="F39" s="358">
        <v>48</v>
      </c>
      <c r="G39" s="358"/>
      <c r="H39" s="358"/>
      <c r="I39" s="358">
        <v>9</v>
      </c>
      <c r="J39" s="358"/>
      <c r="K39" s="358"/>
      <c r="L39" s="358"/>
      <c r="M39" s="358"/>
      <c r="N39" s="358"/>
      <c r="O39" s="358"/>
      <c r="U39" s="182"/>
    </row>
    <row r="40" spans="1:21" s="1" customFormat="1" ht="12.75">
      <c r="A40" s="69"/>
      <c r="B40" s="69"/>
      <c r="C40" s="69"/>
      <c r="D40" s="69"/>
      <c r="E40" s="69"/>
      <c r="F40" s="69"/>
      <c r="G40" s="69"/>
      <c r="H40" s="69"/>
      <c r="I40" s="69"/>
      <c r="J40" s="69"/>
      <c r="K40" s="69"/>
      <c r="L40" s="69"/>
      <c r="M40" s="69"/>
      <c r="N40" s="69"/>
      <c r="O40" s="69"/>
      <c r="U40" s="69"/>
    </row>
    <row r="41" spans="2:21" s="1" customFormat="1" ht="12.75">
      <c r="B41" s="4"/>
      <c r="C41" s="10"/>
      <c r="D41" s="4"/>
      <c r="E41" s="12"/>
      <c r="F41" s="12"/>
      <c r="G41" s="12"/>
      <c r="H41" s="12"/>
      <c r="I41" s="12"/>
      <c r="J41" s="12"/>
      <c r="K41" s="12"/>
      <c r="L41" s="12"/>
      <c r="M41" s="12"/>
      <c r="N41" s="12"/>
      <c r="O41" s="12"/>
      <c r="U41" s="12"/>
    </row>
    <row r="42" spans="2:21" s="1" customFormat="1" ht="12.75">
      <c r="B42" s="329" t="str">
        <f>PO!$K$51</f>
        <v>Tenente Portela</v>
      </c>
      <c r="C42" s="329"/>
      <c r="D42" s="4"/>
      <c r="E42" s="12"/>
      <c r="F42" s="12"/>
      <c r="G42" s="12"/>
      <c r="H42" s="12"/>
      <c r="I42" s="12"/>
      <c r="J42" s="12"/>
      <c r="K42" s="12"/>
      <c r="L42" s="12"/>
      <c r="M42" s="12"/>
      <c r="N42" s="12"/>
      <c r="O42" s="12"/>
      <c r="U42" s="12"/>
    </row>
    <row r="43" spans="2:21" s="1" customFormat="1" ht="13.6">
      <c r="B43" s="98" t="s">
        <v>120</v>
      </c>
      <c r="C43" s="10"/>
      <c r="D43" s="4"/>
      <c r="E43" s="12"/>
      <c r="F43" s="12"/>
      <c r="G43" s="12"/>
      <c r="H43" s="12"/>
      <c r="I43" s="12"/>
      <c r="J43" s="12"/>
      <c r="K43" s="12"/>
      <c r="L43" s="12"/>
      <c r="M43" s="12"/>
      <c r="N43" s="12"/>
      <c r="O43" s="12"/>
      <c r="U43" s="12"/>
    </row>
    <row r="44" spans="2:21" s="1" customFormat="1" ht="12.75">
      <c r="B44" s="10"/>
      <c r="C44" s="10"/>
      <c r="D44" s="4"/>
      <c r="E44" s="12"/>
      <c r="F44" s="12"/>
      <c r="G44" s="12"/>
      <c r="H44" s="12"/>
      <c r="I44" s="12"/>
      <c r="J44" s="12"/>
      <c r="K44" s="12"/>
      <c r="L44" s="12"/>
      <c r="M44" s="12"/>
      <c r="N44" s="12"/>
      <c r="O44" s="12"/>
      <c r="U44" s="12"/>
    </row>
    <row r="45" spans="2:21" s="1" customFormat="1" ht="12.75">
      <c r="B45" s="330">
        <f ca="1">PO!$K$54</f>
        <v>43563</v>
      </c>
      <c r="C45" s="330"/>
      <c r="D45" s="4"/>
      <c r="E45" s="12"/>
      <c r="F45" s="12"/>
      <c r="G45" s="12"/>
      <c r="H45" s="12"/>
      <c r="I45" s="12"/>
      <c r="J45" s="12"/>
      <c r="K45" s="12"/>
      <c r="L45" s="12"/>
      <c r="M45" s="12"/>
      <c r="N45" s="12"/>
      <c r="O45" s="12"/>
      <c r="U45" s="12"/>
    </row>
    <row r="46" spans="2:21" s="1" customFormat="1" ht="12.75">
      <c r="B46" s="120" t="s">
        <v>121</v>
      </c>
      <c r="C46" s="121"/>
      <c r="D46" s="4"/>
      <c r="E46" s="12"/>
      <c r="F46" s="12"/>
      <c r="G46" s="12"/>
      <c r="H46" s="12"/>
      <c r="I46" s="12"/>
      <c r="J46" s="12"/>
      <c r="K46" s="12"/>
      <c r="L46" s="12"/>
      <c r="M46" s="12"/>
      <c r="N46" s="12"/>
      <c r="O46" s="12"/>
      <c r="U46" s="12"/>
    </row>
  </sheetData>
  <sheetProtection algorithmName="SHA-512" hashValue="2Y63Mu9lk47CPiojPtYIeyjBhFF+RRtGowmwsv2XF4Ark26JbPDyMgYW0lzZq/g0vhUiEDtpUqcnoTknuGH0Iw==" saltValue="VLkgGMZlLYCBFUwUMhzl8A==" spinCount="100000" sheet="1" objects="1" scenarios="1"/>
  <mergeCells count="2">
    <mergeCell ref="B42:C42"/>
    <mergeCell ref="B45:C45"/>
  </mergeCells>
  <conditionalFormatting sqref="D11:E11 D27:E31 D22:E25 D13:E20 D39:E39 D33:E37">
    <cfRule type="expression" priority="768" dxfId="71" stopIfTrue="1">
      <formula>$A11="Meta"</formula>
    </cfRule>
    <cfRule type="expression" priority="769" dxfId="70" stopIfTrue="1">
      <formula>$A11&lt;&gt;"Serviço"</formula>
    </cfRule>
  </conditionalFormatting>
  <conditionalFormatting sqref="C11 C27:C31 C22:C25 C13:C20 C39 C33:C37">
    <cfRule type="expression" priority="770" dxfId="67" stopIfTrue="1">
      <formula>$A11="Meta"</formula>
    </cfRule>
    <cfRule type="expression" priority="771" dxfId="66" stopIfTrue="1">
      <formula>$A11&lt;&gt;"Serviço"</formula>
    </cfRule>
  </conditionalFormatting>
  <conditionalFormatting sqref="A11:B11 A27:B31 A22:B25 A13:B20 A39:B39 A33:B37">
    <cfRule type="expression" priority="772" dxfId="67" stopIfTrue="1">
      <formula>$A11="Meta"</formula>
    </cfRule>
    <cfRule type="expression" priority="773" dxfId="66" stopIfTrue="1">
      <formula>LEFT($A11,5)="Nível"</formula>
    </cfRule>
    <cfRule type="expression" priority="774" dxfId="65" stopIfTrue="1">
      <formula>$A11=0</formula>
    </cfRule>
  </conditionalFormatting>
  <conditionalFormatting sqref="U11 U13:U39 F13:O39">
    <cfRule type="expression" priority="784" dxfId="71" stopIfTrue="1">
      <formula>$A11="Meta"</formula>
    </cfRule>
    <cfRule type="expression" priority="785" dxfId="65" stopIfTrue="1">
      <formula>OR(F$9=0,$A11&lt;&gt;"Serviço")</formula>
    </cfRule>
    <cfRule type="expression" priority="786" dxfId="93" stopIfTrue="1">
      <formula>TipoOrçamento="Licitado"</formula>
    </cfRule>
  </conditionalFormatting>
  <conditionalFormatting sqref="U9">
    <cfRule type="expression" priority="206" dxfId="65" stopIfTrue="1">
      <formula>AND(T9=0,U9=0)</formula>
    </cfRule>
    <cfRule type="expression" priority="207" dxfId="93" stopIfTrue="1">
      <formula>TipoOrçamento="Licitado"</formula>
    </cfRule>
  </conditionalFormatting>
  <conditionalFormatting sqref="F11:O11">
    <cfRule type="expression" priority="166" dxfId="71" stopIfTrue="1">
      <formula>$A11="Meta"</formula>
    </cfRule>
    <cfRule type="expression" priority="167" dxfId="65" stopIfTrue="1">
      <formula>OR(F$9=0,$A11&lt;&gt;"Serviço")</formula>
    </cfRule>
    <cfRule type="expression" priority="168" dxfId="93" stopIfTrue="1">
      <formula>TipoOrçamento="Licitado"</formula>
    </cfRule>
  </conditionalFormatting>
  <conditionalFormatting sqref="F9:O9">
    <cfRule type="expression" priority="164" dxfId="65" stopIfTrue="1">
      <formula>AND(E9=0,F9=0)</formula>
    </cfRule>
    <cfRule type="expression" priority="165" dxfId="93" stopIfTrue="1">
      <formula>TipoOrçamento="Licitado"</formula>
    </cfRule>
  </conditionalFormatting>
  <conditionalFormatting sqref="D26:E26">
    <cfRule type="expression" priority="56" dxfId="71" stopIfTrue="1">
      <formula>$A26="Meta"</formula>
    </cfRule>
    <cfRule type="expression" priority="57" dxfId="70" stopIfTrue="1">
      <formula>$A26&lt;&gt;"Serviço"</formula>
    </cfRule>
  </conditionalFormatting>
  <conditionalFormatting sqref="C26">
    <cfRule type="expression" priority="58" dxfId="67" stopIfTrue="1">
      <formula>$A26="Meta"</formula>
    </cfRule>
    <cfRule type="expression" priority="59" dxfId="66" stopIfTrue="1">
      <formula>$A26&lt;&gt;"Serviço"</formula>
    </cfRule>
  </conditionalFormatting>
  <conditionalFormatting sqref="A26:B26">
    <cfRule type="expression" priority="60" dxfId="67" stopIfTrue="1">
      <formula>$A26="Meta"</formula>
    </cfRule>
    <cfRule type="expression" priority="61" dxfId="66" stopIfTrue="1">
      <formula>LEFT($A26,5)="Nível"</formula>
    </cfRule>
    <cfRule type="expression" priority="62" dxfId="65" stopIfTrue="1">
      <formula>$A26=0</formula>
    </cfRule>
  </conditionalFormatting>
  <conditionalFormatting sqref="D32:E32">
    <cfRule type="expression" priority="30" dxfId="71" stopIfTrue="1">
      <formula>$A32="Meta"</formula>
    </cfRule>
    <cfRule type="expression" priority="31" dxfId="70" stopIfTrue="1">
      <formula>$A32&lt;&gt;"Serviço"</formula>
    </cfRule>
  </conditionalFormatting>
  <conditionalFormatting sqref="C32">
    <cfRule type="expression" priority="32" dxfId="67" stopIfTrue="1">
      <formula>$A32="Meta"</formula>
    </cfRule>
    <cfRule type="expression" priority="33" dxfId="66" stopIfTrue="1">
      <formula>$A32&lt;&gt;"Serviço"</formula>
    </cfRule>
  </conditionalFormatting>
  <conditionalFormatting sqref="A32:B32">
    <cfRule type="expression" priority="34" dxfId="67" stopIfTrue="1">
      <formula>$A32="Meta"</formula>
    </cfRule>
    <cfRule type="expression" priority="35" dxfId="66" stopIfTrue="1">
      <formula>LEFT($A32,5)="Nível"</formula>
    </cfRule>
    <cfRule type="expression" priority="36" dxfId="65" stopIfTrue="1">
      <formula>$A32=0</formula>
    </cfRule>
  </conditionalFormatting>
  <conditionalFormatting sqref="D21:E21">
    <cfRule type="expression" priority="17" dxfId="71" stopIfTrue="1">
      <formula>$A21="Meta"</formula>
    </cfRule>
    <cfRule type="expression" priority="18" dxfId="70" stopIfTrue="1">
      <formula>$A21&lt;&gt;"Serviço"</formula>
    </cfRule>
  </conditionalFormatting>
  <conditionalFormatting sqref="C21">
    <cfRule type="expression" priority="19" dxfId="67" stopIfTrue="1">
      <formula>$A21="Meta"</formula>
    </cfRule>
    <cfRule type="expression" priority="20" dxfId="66" stopIfTrue="1">
      <formula>$A21&lt;&gt;"Serviço"</formula>
    </cfRule>
  </conditionalFormatting>
  <conditionalFormatting sqref="A21:B21">
    <cfRule type="expression" priority="21" dxfId="67" stopIfTrue="1">
      <formula>$A21="Meta"</formula>
    </cfRule>
    <cfRule type="expression" priority="22" dxfId="66" stopIfTrue="1">
      <formula>LEFT($A21,5)="Nível"</formula>
    </cfRule>
    <cfRule type="expression" priority="23" dxfId="65" stopIfTrue="1">
      <formula>$A21=0</formula>
    </cfRule>
  </conditionalFormatting>
  <conditionalFormatting sqref="D38:E38">
    <cfRule type="expression" priority="4" dxfId="71" stopIfTrue="1">
      <formula>$A38="Meta"</formula>
    </cfRule>
    <cfRule type="expression" priority="5" dxfId="70" stopIfTrue="1">
      <formula>$A38&lt;&gt;"Serviço"</formula>
    </cfRule>
  </conditionalFormatting>
  <conditionalFormatting sqref="C38">
    <cfRule type="expression" priority="6" dxfId="67" stopIfTrue="1">
      <formula>$A38="Meta"</formula>
    </cfRule>
    <cfRule type="expression" priority="7" dxfId="66" stopIfTrue="1">
      <formula>$A38&lt;&gt;"Serviço"</formula>
    </cfRule>
  </conditionalFormatting>
  <conditionalFormatting sqref="A38:B38">
    <cfRule type="expression" priority="8" dxfId="67" stopIfTrue="1">
      <formula>$A38="Meta"</formula>
    </cfRule>
    <cfRule type="expression" priority="9" dxfId="66" stopIfTrue="1">
      <formula>LEFT($A38,5)="Nível"</formula>
    </cfRule>
    <cfRule type="expression" priority="10" dxfId="65" stopIfTrue="1">
      <formula>$A38=0</formula>
    </cfRule>
  </conditionalFormatting>
  <dataValidations count="1">
    <dataValidation type="decimal" operator="greaterThanOrEqual" allowBlank="1" showInputMessage="1" showErrorMessage="1" error="Digite apenas números._x000a__x000a_preferencialmente com 02 casas de precisão." sqref="U11 F11:O11 F14:O39 U14:U39">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45 B42"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6">
    <tabColor rgb="FFFFFF00"/>
    <outlinePr summaryBelow="0"/>
    <pageSetUpPr fitToPage="1"/>
  </sheetPr>
  <dimension ref="A1:AC40"/>
  <sheetViews>
    <sheetView showGridLines="0" zoomScaleSheetLayoutView="100" workbookViewId="0" topLeftCell="L1">
      <selection activeCell="M18" sqref="M18:M20"/>
    </sheetView>
  </sheetViews>
  <sheetFormatPr defaultColWidth="9.140625" defaultRowHeight="12.75"/>
  <cols>
    <col min="1" max="4" width="9.140625" style="33" hidden="1" customWidth="1"/>
    <col min="5" max="8" width="5.7109375" style="33" hidden="1" customWidth="1"/>
    <col min="9" max="10" width="6.7109375" style="33" hidden="1" customWidth="1"/>
    <col min="11" max="11" width="10.7109375" style="33" hidden="1" customWidth="1"/>
    <col min="12" max="12" width="10.7109375" style="33" customWidth="1"/>
    <col min="13" max="13" width="40.57421875" style="33" customWidth="1"/>
    <col min="14" max="14" width="16.421875" style="37" customWidth="1"/>
    <col min="15" max="15" width="16.57421875" style="33" bestFit="1" customWidth="1"/>
    <col min="16" max="23" width="15.7109375" style="33" customWidth="1"/>
    <col min="24" max="24" width="0.85546875" style="36" customWidth="1"/>
    <col min="25" max="28" width="9.140625" style="33" customWidth="1"/>
    <col min="29" max="29" width="15.7109375" style="33" hidden="1" customWidth="1"/>
    <col min="30" max="16384" width="9.140625" style="33" customWidth="1"/>
  </cols>
  <sheetData>
    <row r="1" spans="1:29" s="32" customFormat="1" ht="12.9" customHeight="1">
      <c r="A1"/>
      <c r="B1"/>
      <c r="C1"/>
      <c r="D1"/>
      <c r="E1" s="147"/>
      <c r="F1" s="147"/>
      <c r="G1" s="147"/>
      <c r="H1" s="147"/>
      <c r="I1" s="147"/>
      <c r="J1" s="147"/>
      <c r="K1" s="147"/>
      <c r="L1"/>
      <c r="M1"/>
      <c r="N1"/>
      <c r="O1" s="148" t="s">
        <v>22</v>
      </c>
      <c r="P1" s="84" t="s">
        <v>115</v>
      </c>
      <c r="Q1" s="149"/>
      <c r="R1"/>
      <c r="S1"/>
      <c r="T1"/>
      <c r="U1"/>
      <c r="V1"/>
      <c r="W1"/>
      <c r="X1"/>
      <c r="AC1"/>
    </row>
    <row r="2" spans="1:29" s="32" customFormat="1" ht="12.75" customHeight="1">
      <c r="A2"/>
      <c r="B2"/>
      <c r="C2"/>
      <c r="D2"/>
      <c r="E2"/>
      <c r="F2"/>
      <c r="G2"/>
      <c r="H2"/>
      <c r="I2"/>
      <c r="J2"/>
      <c r="K2"/>
      <c r="L2"/>
      <c r="M2"/>
      <c r="N2"/>
      <c r="O2" s="148"/>
      <c r="P2" s="87"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c r="R2"/>
      <c r="S2"/>
      <c r="T2"/>
      <c r="U2"/>
      <c r="V2" s="84"/>
      <c r="W2"/>
      <c r="X2"/>
      <c r="AC2"/>
    </row>
    <row r="3" spans="1:29" s="32" customFormat="1" ht="12.75" customHeight="1">
      <c r="A3"/>
      <c r="B3"/>
      <c r="C3"/>
      <c r="D3"/>
      <c r="E3"/>
      <c r="F3"/>
      <c r="G3"/>
      <c r="H3"/>
      <c r="I3"/>
      <c r="J3"/>
      <c r="K3"/>
      <c r="L3"/>
      <c r="M3"/>
      <c r="N3"/>
      <c r="O3"/>
      <c r="P3"/>
      <c r="Q3"/>
      <c r="R3"/>
      <c r="S3" s="1"/>
      <c r="T3"/>
      <c r="U3"/>
      <c r="V3"/>
      <c r="W3"/>
      <c r="X3"/>
      <c r="AC3"/>
    </row>
    <row r="4" spans="1:29" s="32" customFormat="1" ht="25" customHeight="1">
      <c r="A4"/>
      <c r="B4"/>
      <c r="C4"/>
      <c r="D4"/>
      <c r="E4"/>
      <c r="F4"/>
      <c r="G4"/>
      <c r="H4"/>
      <c r="I4"/>
      <c r="J4"/>
      <c r="K4"/>
      <c r="L4"/>
      <c r="M4"/>
      <c r="N4"/>
      <c r="O4"/>
      <c r="P4"/>
      <c r="Q4"/>
      <c r="R4"/>
      <c r="S4"/>
      <c r="T4"/>
      <c r="U4"/>
      <c r="V4"/>
      <c r="W4"/>
      <c r="X4"/>
      <c r="AC4"/>
    </row>
    <row r="5" spans="1:29" s="32" customFormat="1" ht="25" customHeight="1">
      <c r="A5"/>
      <c r="B5"/>
      <c r="C5"/>
      <c r="D5"/>
      <c r="E5"/>
      <c r="F5"/>
      <c r="G5"/>
      <c r="H5"/>
      <c r="I5"/>
      <c r="J5"/>
      <c r="K5"/>
      <c r="L5"/>
      <c r="M5"/>
      <c r="N5"/>
      <c r="O5"/>
      <c r="P5"/>
      <c r="Q5"/>
      <c r="R5"/>
      <c r="S5"/>
      <c r="T5"/>
      <c r="U5"/>
      <c r="V5"/>
      <c r="W5"/>
      <c r="X5"/>
      <c r="AC5"/>
    </row>
    <row r="6" spans="1:29" s="32" customFormat="1" ht="25" customHeight="1">
      <c r="A6"/>
      <c r="B6"/>
      <c r="C6"/>
      <c r="D6"/>
      <c r="E6"/>
      <c r="F6"/>
      <c r="G6"/>
      <c r="H6"/>
      <c r="I6"/>
      <c r="J6"/>
      <c r="K6"/>
      <c r="L6"/>
      <c r="M6"/>
      <c r="N6"/>
      <c r="O6"/>
      <c r="P6"/>
      <c r="Q6"/>
      <c r="R6"/>
      <c r="S6"/>
      <c r="T6"/>
      <c r="U6"/>
      <c r="V6"/>
      <c r="W6"/>
      <c r="X6"/>
      <c r="AC6"/>
    </row>
    <row r="7" spans="1:29" s="32" customFormat="1" ht="21.75" customHeight="1">
      <c r="A7"/>
      <c r="B7"/>
      <c r="C7"/>
      <c r="D7"/>
      <c r="E7"/>
      <c r="F7"/>
      <c r="G7"/>
      <c r="H7"/>
      <c r="I7"/>
      <c r="J7"/>
      <c r="K7"/>
      <c r="L7"/>
      <c r="M7"/>
      <c r="N7"/>
      <c r="O7"/>
      <c r="P7"/>
      <c r="Q7"/>
      <c r="R7"/>
      <c r="S7"/>
      <c r="T7"/>
      <c r="U7"/>
      <c r="V7"/>
      <c r="W7"/>
      <c r="X7"/>
      <c r="AC7"/>
    </row>
    <row r="8" spans="1:29" s="32" customFormat="1" ht="30.1" customHeight="1">
      <c r="A8" s="150" t="s">
        <v>176</v>
      </c>
      <c r="B8"/>
      <c r="C8"/>
      <c r="D8"/>
      <c r="E8"/>
      <c r="F8"/>
      <c r="G8"/>
      <c r="H8"/>
      <c r="I8"/>
      <c r="J8"/>
      <c r="K8"/>
      <c r="L8" s="331" t="str">
        <f ca="1">IF(MAX($A$14:$A$31)&lt;&gt;MAX(PO!$V$12:$V$40),"ERRO: CRONOGRAMA DESATUALIZADO",IF(OR(COUNTIF($O$16:$X$16,"&gt;1")&gt;0,OFFSET($X$17,0,-1)&lt;&gt;$N$14),"ERRO: CRONOGRAMA NÃO FECHA EM 100%",""))</f>
        <v>ERRO: CRONOGRAMA NÃO FECHA EM 100%</v>
      </c>
      <c r="M8" s="331"/>
      <c r="N8" s="136" t="str">
        <f>IF(TipoOrçamento="REPROGRAMADOAC","Qtde de Medições realizadas","")</f>
        <v/>
      </c>
      <c r="O8" s="151"/>
      <c r="P8"/>
      <c r="Q8"/>
      <c r="R8"/>
      <c r="S8"/>
      <c r="T8"/>
      <c r="U8"/>
      <c r="V8"/>
      <c r="W8"/>
      <c r="X8"/>
      <c r="AC8"/>
    </row>
    <row r="9" spans="1:29" s="32" customFormat="1" ht="14.1" customHeight="1">
      <c r="A9" s="141">
        <v>2</v>
      </c>
      <c r="B9"/>
      <c r="C9"/>
      <c r="D9"/>
      <c r="E9"/>
      <c r="F9"/>
      <c r="G9"/>
      <c r="H9"/>
      <c r="I9"/>
      <c r="J9"/>
      <c r="K9"/>
      <c r="L9" s="1"/>
      <c r="M9" s="1"/>
      <c r="N9" s="135">
        <v>1</v>
      </c>
      <c r="O9" s="26">
        <f>IF(AND(TipoOrçamento="REPROGRAMADOAC",$N$9&gt;0),$N$9-1,0)</f>
        <v>0</v>
      </c>
      <c r="P9" s="126">
        <f aca="true" ca="1" t="shared" si="0" ref="P9:W9">OFFSET(P9,0,-1)+1</f>
        <v>1</v>
      </c>
      <c r="Q9" s="126">
        <f ca="1" t="shared" si="0"/>
        <v>2</v>
      </c>
      <c r="R9" s="126">
        <f ca="1" t="shared" si="0"/>
        <v>3</v>
      </c>
      <c r="S9" s="126">
        <f ca="1" t="shared" si="0"/>
        <v>4</v>
      </c>
      <c r="T9" s="126">
        <f ca="1" t="shared" si="0"/>
        <v>5</v>
      </c>
      <c r="U9" s="126">
        <f ca="1" t="shared" si="0"/>
        <v>6</v>
      </c>
      <c r="V9" s="126">
        <f ca="1" t="shared" si="0"/>
        <v>7</v>
      </c>
      <c r="W9" s="126">
        <f ca="1" t="shared" si="0"/>
        <v>8</v>
      </c>
      <c r="X9"/>
      <c r="AC9" s="126">
        <f ca="1">OFFSET(AC9,0,-1)+1</f>
        <v>1</v>
      </c>
    </row>
    <row r="10" spans="1:29" s="34" customFormat="1" ht="30.1" customHeight="1">
      <c r="A10" s="152" t="s">
        <v>161</v>
      </c>
      <c r="B10" s="152" t="s">
        <v>129</v>
      </c>
      <c r="C10" s="152" t="s">
        <v>3</v>
      </c>
      <c r="D10" s="152" t="s">
        <v>123</v>
      </c>
      <c r="E10" s="152" t="s">
        <v>109</v>
      </c>
      <c r="F10" s="152" t="s">
        <v>110</v>
      </c>
      <c r="G10" s="152" t="s">
        <v>127</v>
      </c>
      <c r="H10" s="152" t="s">
        <v>128</v>
      </c>
      <c r="I10" s="152" t="s">
        <v>124</v>
      </c>
      <c r="J10" s="152" t="s">
        <v>125</v>
      </c>
      <c r="K10" s="152" t="s">
        <v>178</v>
      </c>
      <c r="L10" s="153" t="s">
        <v>147</v>
      </c>
      <c r="M10" s="154" t="s">
        <v>160</v>
      </c>
      <c r="N10" s="155" t="s">
        <v>139</v>
      </c>
      <c r="O10" s="185" t="str">
        <f>IF(TipoOrçamento="REPROGRAMADOAC","Reinício de Obra","Início de Obra")&amp;CHAR(10)&amp;TEXT(DADOS!A48,"dd/mm/aa")</f>
        <v>Início de Obra
20/04/19</v>
      </c>
      <c r="P10" s="186" t="str">
        <f ca="1">IF(AND(TipoOrçamento="REPROGRAMADOAC",$N$9&gt;0,N10="Valores Totais (R$)"),"Parcela "&amp;$N$9&amp;" Executado","Parcela "&amp;P$9&amp;CHAR(10)&amp;TEXT(DATE(YEAR(DADOS!$A$48),MONTH(DADOS!$A$48)+P$9-IF(AND(TipoOrçamento="REPROGRAMADOAC",$N$9&gt;0),$N$9,0),1),"mmm/aa"))</f>
        <v>Parcela 1
mai/19</v>
      </c>
      <c r="Q10" s="177" t="str">
        <f ca="1">IF(AND(TipoOrçamento="REPROGRAMADOAC",$N$9&gt;0,O10="Valores Totais (R$)"),"Parcela "&amp;$N$9&amp;" Executado","Parcela "&amp;Q$9&amp;CHAR(10)&amp;TEXT(DATE(YEAR(DADOS!$A$48),MONTH(DADOS!$A$48)+Q$9-IF(AND(TipoOrçamento="REPROGRAMADOAC",$N$9&gt;0),$N$9,0),1),"mmm/aa"))</f>
        <v>Parcela 2
jun/19</v>
      </c>
      <c r="R10" s="177" t="str">
        <f ca="1">IF(AND(TipoOrçamento="REPROGRAMADOAC",$N$9&gt;0,P10="Valores Totais (R$)"),"Parcela "&amp;$N$9&amp;" Executado","Parcela "&amp;R$9&amp;CHAR(10)&amp;TEXT(DATE(YEAR(DADOS!$A$48),MONTH(DADOS!$A$48)+R$9-IF(AND(TipoOrçamento="REPROGRAMADOAC",$N$9&gt;0),$N$9,0),1),"mmm/aa"))</f>
        <v>Parcela 3
jul/19</v>
      </c>
      <c r="S10" s="177" t="str">
        <f ca="1">IF(AND(TipoOrçamento="REPROGRAMADOAC",$N$9&gt;0,Q10="Valores Totais (R$)"),"Parcela "&amp;$N$9&amp;" Executado","Parcela "&amp;S$9&amp;CHAR(10)&amp;TEXT(DATE(YEAR(DADOS!$A$48),MONTH(DADOS!$A$48)+S$9-IF(AND(TipoOrçamento="REPROGRAMADOAC",$N$9&gt;0),$N$9,0),1),"mmm/aa"))</f>
        <v>Parcela 4
ago/19</v>
      </c>
      <c r="T10" s="177" t="str">
        <f ca="1">IF(AND(TipoOrçamento="REPROGRAMADOAC",$N$9&gt;0,R10="Valores Totais (R$)"),"Parcela "&amp;$N$9&amp;" Executado","Parcela "&amp;T$9&amp;CHAR(10)&amp;TEXT(DATE(YEAR(DADOS!$A$48),MONTH(DADOS!$A$48)+T$9-IF(AND(TipoOrçamento="REPROGRAMADOAC",$N$9&gt;0),$N$9,0),1),"mmm/aa"))</f>
        <v>Parcela 5
set/19</v>
      </c>
      <c r="U10" s="177" t="str">
        <f ca="1">IF(AND(TipoOrçamento="REPROGRAMADOAC",$N$9&gt;0,S10="Valores Totais (R$)"),"Parcela "&amp;$N$9&amp;" Executado","Parcela "&amp;U$9&amp;CHAR(10)&amp;TEXT(DATE(YEAR(DADOS!$A$48),MONTH(DADOS!$A$48)+U$9-IF(AND(TipoOrçamento="REPROGRAMADOAC",$N$9&gt;0),$N$9,0),1),"mmm/aa"))</f>
        <v>Parcela 6
out/19</v>
      </c>
      <c r="V10" s="177" t="str">
        <f ca="1">IF(AND(TipoOrçamento="REPROGRAMADOAC",$N$9&gt;0,T10="Valores Totais (R$)"),"Parcela "&amp;$N$9&amp;" Executado","Parcela "&amp;V$9&amp;CHAR(10)&amp;TEXT(DATE(YEAR(DADOS!$A$48),MONTH(DADOS!$A$48)+V$9-IF(AND(TipoOrçamento="REPROGRAMADOAC",$N$9&gt;0),$N$9,0),1),"mmm/aa"))</f>
        <v>Parcela 7
nov/19</v>
      </c>
      <c r="W10" s="189" t="str">
        <f ca="1">IF(AND(TipoOrçamento="REPROGRAMADOAC",$N$9&gt;0,U10="Valores Totais (R$)"),"Parcela "&amp;$N$9&amp;" Executado","Parcela "&amp;W$9&amp;CHAR(10)&amp;TEXT(DATE(YEAR(DADOS!$A$48),MONTH(DADOS!$A$48)+W$9-IF(AND(TipoOrçamento="REPROGRAMADOAC",$N$9&gt;0),$N$9,0),1),"mmm/aa"))</f>
        <v>Parcela 8
dez/19</v>
      </c>
      <c r="X10" s="162"/>
      <c r="AC10" s="177" t="str">
        <f ca="1">IF(AND(TipoOrçamento="REPROGRAMADOAC",$N$9&gt;0,AA10="Valores Totais (R$)"),"Parcela "&amp;$N$9&amp;" Executado","Parcela "&amp;AC$9&amp;CHAR(10)&amp;TEXT(DATE(YEAR(DADOS!$A$48),MONTH(DADOS!$A$48)+AC$9-IF(AND(TipoOrçamento="REPROGRAMADOAC",$N$9&gt;0),$N$9,0),1),"mmm/aa"))</f>
        <v>Parcela 1
mai/19</v>
      </c>
    </row>
    <row r="11" spans="1:29" ht="14.3" customHeight="1" hidden="1">
      <c r="A11" s="1"/>
      <c r="B11" s="1"/>
      <c r="C11" s="1"/>
      <c r="D11" s="1"/>
      <c r="E11" s="1"/>
      <c r="F11" s="1"/>
      <c r="G11" s="1"/>
      <c r="H11" s="1"/>
      <c r="I11" s="1"/>
      <c r="J11" s="1"/>
      <c r="K11" s="1"/>
      <c r="L11" s="340" t="e">
        <f ca="1">INDEX(PO!K$12:K$40,MATCH($A13,PO!$V$12:$V$40,0))</f>
        <v>#VALUE!</v>
      </c>
      <c r="M11" s="334" t="e">
        <f ca="1">INDEX(PO!N$12:N$40,MATCH($A13,PO!$V$12:$V$40,0))</f>
        <v>#VALUE!</v>
      </c>
      <c r="N11" s="332" t="e">
        <f ca="1">IF(ROUND(K13,2)=0,K13,ROUND(K13,2))</f>
        <v>#VALUE!</v>
      </c>
      <c r="O11" s="187" t="s">
        <v>143</v>
      </c>
      <c r="P11" s="193" t="e">
        <f ca="1">IF($B13,0,P12-IF(ISNUMBER(O12),O12,0))</f>
        <v>#VALUE!</v>
      </c>
      <c r="Q11" s="194" t="e">
        <f aca="true" t="shared" si="1" ref="Q11:W11">IF($B13,0,Q12-IF(ISNUMBER(P12),P12,0))</f>
        <v>#VALUE!</v>
      </c>
      <c r="R11" s="194" t="e">
        <f ca="1" t="shared" si="1"/>
        <v>#VALUE!</v>
      </c>
      <c r="S11" s="194" t="e">
        <f ca="1" t="shared" si="1"/>
        <v>#VALUE!</v>
      </c>
      <c r="T11" s="194" t="e">
        <f ca="1" t="shared" si="1"/>
        <v>#VALUE!</v>
      </c>
      <c r="U11" s="194" t="e">
        <f ca="1" t="shared" si="1"/>
        <v>#VALUE!</v>
      </c>
      <c r="V11" s="194" t="e">
        <f ca="1" t="shared" si="1"/>
        <v>#VALUE!</v>
      </c>
      <c r="W11" s="195" t="e">
        <f ca="1" t="shared" si="1"/>
        <v>#VALUE!</v>
      </c>
      <c r="X11" s="163"/>
      <c r="AC11" s="188" t="e">
        <f ca="1">IF($B13,0,AC12-IF(ISNUMBER(AB12),AB12,0))</f>
        <v>#VALUE!</v>
      </c>
    </row>
    <row r="12" spans="1:29" ht="13.6" hidden="1">
      <c r="A12" s="11"/>
      <c r="B12" s="11"/>
      <c r="C12" s="11"/>
      <c r="D12" s="11"/>
      <c r="E12" s="11"/>
      <c r="F12" s="11"/>
      <c r="G12" s="11"/>
      <c r="H12" s="11"/>
      <c r="I12" s="11"/>
      <c r="J12" s="11"/>
      <c r="K12" s="11"/>
      <c r="L12" s="341"/>
      <c r="M12" s="335"/>
      <c r="N12" s="333"/>
      <c r="O12" s="145" t="s">
        <v>145</v>
      </c>
      <c r="P12" s="165" t="e">
        <f ca="1">MIN(IF($B13,P11+IF(ISNUMBER(O12),O12,0),P13/$N11),1)</f>
        <v>#VALUE!</v>
      </c>
      <c r="Q12" s="143" t="e">
        <f aca="true" t="shared" si="2" ref="Q12:W12">MIN(IF($B13,Q11+IF(ISNUMBER(P12),P12,0),Q13/$N11),1)</f>
        <v>#VALUE!</v>
      </c>
      <c r="R12" s="143" t="e">
        <f ca="1" t="shared" si="2"/>
        <v>#VALUE!</v>
      </c>
      <c r="S12" s="143" t="e">
        <f ca="1" t="shared" si="2"/>
        <v>#VALUE!</v>
      </c>
      <c r="T12" s="143" t="e">
        <f ca="1" t="shared" si="2"/>
        <v>#VALUE!</v>
      </c>
      <c r="U12" s="143" t="e">
        <f ca="1" t="shared" si="2"/>
        <v>#VALUE!</v>
      </c>
      <c r="V12" s="143" t="e">
        <f ca="1" t="shared" si="2"/>
        <v>#VALUE!</v>
      </c>
      <c r="W12" s="143" t="e">
        <f ca="1" t="shared" si="2"/>
        <v>#VALUE!</v>
      </c>
      <c r="X12" s="163"/>
      <c r="AC12" s="143" t="e">
        <f ca="1">MIN(IF($B13,AC11+IF(ISNUMBER(AB12),AB12,0),AC13/$N11),1)</f>
        <v>#VALUE!</v>
      </c>
    </row>
    <row r="13" spans="1:29" ht="13.6" hidden="1">
      <c r="A13" s="11" t="e">
        <f ca="1">OFFSET(A13,-CFF.NumLinha,0)+1</f>
        <v>#VALUE!</v>
      </c>
      <c r="B13" s="11" t="e">
        <f ca="1">$C13&gt;=OFFSET($C13,CFF.NumLinha,0)</f>
        <v>#VALUE!</v>
      </c>
      <c r="C13" s="11" t="e">
        <f ca="1">INDEX(PO!A$12:A$40,MATCH($A13,PO!$V$12:$V$40,0))</f>
        <v>#VALUE!</v>
      </c>
      <c r="D13" s="11" t="e">
        <f ca="1">IF(ISERROR(J13),I13,SMALL(I13:J13,1))-1</f>
        <v>#VALUE!</v>
      </c>
      <c r="E13" s="11" t="e">
        <f ca="1">IF($C13=1,OFFSET(E13,-CFF.NumLinha,0)+1,OFFSET(E13,-CFF.NumLinha,0))</f>
        <v>#VALUE!</v>
      </c>
      <c r="F13" s="11" t="e">
        <f ca="1">IF($C13=1,0,IF($C13=2,OFFSET(F13,-CFF.NumLinha,0)+1,OFFSET(F13,-CFF.NumLinha,0)))</f>
        <v>#VALUE!</v>
      </c>
      <c r="G13" s="11" t="e">
        <f ca="1">IF(AND($C13&lt;=2,$C13&lt;&gt;0),0,IF($C13=3,OFFSET(G13,-CFF.NumLinha,0)+1,OFFSET(G13,-CFF.NumLinha,0)))</f>
        <v>#VALUE!</v>
      </c>
      <c r="H13" s="11" t="e">
        <f ca="1">IF(AND($C13&lt;=3,$C13&lt;&gt;0),0,IF($C13=4,OFFSET(H13,-CFF.NumLinha,0)+1,OFFSET(H13,-CFF.NumLinha,0)))</f>
        <v>#VALUE!</v>
      </c>
      <c r="I13" s="11" t="e">
        <f ca="1">MATCH(0,OFFSET($D13,1,$C13,ROW($A$30)-ROW($A13)),0)</f>
        <v>#VALUE!</v>
      </c>
      <c r="J13" s="11" t="e">
        <f ca="1">MATCH(OFFSET($D13,0,$C13)+1,OFFSET($D13,1,$C13,ROW($A$30)-ROW($A13)),0)</f>
        <v>#VALUE!</v>
      </c>
      <c r="K13" s="156" t="e">
        <f ca="1">ROUND(INDEX(PO!T$12:T$40,MATCH($A13,PO!$V$12:$V$40,0)),2)+10^-12</f>
        <v>#VALUE!</v>
      </c>
      <c r="L13" s="341"/>
      <c r="M13" s="335"/>
      <c r="N13" s="333"/>
      <c r="O13" s="171" t="s">
        <v>20</v>
      </c>
      <c r="P13" s="166" t="e">
        <f ca="1">IF($B13,ROUND(P12*$N11,2),ROUND(SUMIF(OFFSET($B13,1,0,$D13),TRUE,OFFSET(P13,1,0,$D13))/SUMIF(OFFSET($B13,1,0,$D13),TRUE,OFFSET($K13,1,0,$D13))*$N11,2))</f>
        <v>#VALUE!</v>
      </c>
      <c r="Q13" s="144" t="e">
        <f aca="true" ca="1" t="shared" si="3" ref="Q13:W13">IF($B13,ROUND(Q12*$N11,2),ROUND(SUMIF(OFFSET($B13,1,0,$D13),TRUE,OFFSET(Q13,1,0,$D13))/SUMIF(OFFSET($B13,1,0,$D13),TRUE,OFFSET($K13,1,0,$D13))*$N11,2))</f>
        <v>#VALUE!</v>
      </c>
      <c r="R13" s="144" t="e">
        <f ca="1" t="shared" si="3"/>
        <v>#VALUE!</v>
      </c>
      <c r="S13" s="144" t="e">
        <f ca="1" t="shared" si="3"/>
        <v>#VALUE!</v>
      </c>
      <c r="T13" s="144" t="e">
        <f ca="1" t="shared" si="3"/>
        <v>#VALUE!</v>
      </c>
      <c r="U13" s="144" t="e">
        <f ca="1" t="shared" si="3"/>
        <v>#VALUE!</v>
      </c>
      <c r="V13" s="144" t="e">
        <f ca="1" t="shared" si="3"/>
        <v>#VALUE!</v>
      </c>
      <c r="W13" s="174" t="e">
        <f ca="1" t="shared" si="3"/>
        <v>#VALUE!</v>
      </c>
      <c r="X13" s="163"/>
      <c r="AC13" s="144" t="e">
        <f ca="1">IF($B13,ROUND(AC12*$N11,2),ROUND(SUMIF(OFFSET($B13,1,0,$D13),TRUE,OFFSET(AC13,1,0,$D13))/SUMIF(OFFSET($B13,1,0,$D13),TRUE,OFFSET($K13,1,0,$D13))*$N11,2))</f>
        <v>#VALUE!</v>
      </c>
    </row>
    <row r="14" spans="1:29" s="35" customFormat="1" ht="12.75" customHeight="1">
      <c r="A14"/>
      <c r="B14"/>
      <c r="C14"/>
      <c r="D14"/>
      <c r="E14"/>
      <c r="F14"/>
      <c r="G14"/>
      <c r="H14"/>
      <c r="I14"/>
      <c r="J14"/>
      <c r="K14"/>
      <c r="L14" s="343" t="s">
        <v>19</v>
      </c>
      <c r="M14" s="344"/>
      <c r="N14" s="349">
        <f ca="1">IF(PO!$T$12=0,10^-12,PO!$T$12)</f>
        <v>1E-12</v>
      </c>
      <c r="O14" s="142" t="s">
        <v>143</v>
      </c>
      <c r="P14" s="172">
        <f ca="1">ROUND(P15/$N14,4)</f>
        <v>0</v>
      </c>
      <c r="Q14" s="173">
        <f aca="true" t="shared" si="4" ref="Q14:W14">ROUND(Q15/$N14,4)</f>
        <v>0</v>
      </c>
      <c r="R14" s="173">
        <f ca="1" t="shared" si="4"/>
        <v>0</v>
      </c>
      <c r="S14" s="173">
        <f ca="1" t="shared" si="4"/>
        <v>0</v>
      </c>
      <c r="T14" s="173">
        <f ca="1" t="shared" si="4"/>
        <v>0</v>
      </c>
      <c r="U14" s="173">
        <f ca="1" t="shared" si="4"/>
        <v>0</v>
      </c>
      <c r="V14" s="173">
        <f ca="1" t="shared" si="4"/>
        <v>0</v>
      </c>
      <c r="W14" s="173">
        <f ca="1" t="shared" si="4"/>
        <v>0</v>
      </c>
      <c r="X14" s="146"/>
      <c r="AC14" s="173">
        <f ca="1">ROUND(AC15/$N14,4)</f>
        <v>0</v>
      </c>
    </row>
    <row r="15" spans="1:29" s="35" customFormat="1" ht="12.75" customHeight="1">
      <c r="A15"/>
      <c r="B15"/>
      <c r="C15"/>
      <c r="D15"/>
      <c r="E15"/>
      <c r="F15"/>
      <c r="G15"/>
      <c r="H15"/>
      <c r="I15"/>
      <c r="J15"/>
      <c r="K15"/>
      <c r="L15" s="345"/>
      <c r="M15" s="346"/>
      <c r="N15" s="350"/>
      <c r="O15" s="132" t="s">
        <v>144</v>
      </c>
      <c r="P15" s="167">
        <f ca="1">P17-IF(ISNUMBER(O17),O17,0)</f>
        <v>0</v>
      </c>
      <c r="Q15" s="127">
        <f aca="true" t="shared" si="5" ref="Q15:W15">Q17-IF(ISNUMBER(P17),P17,0)</f>
        <v>0</v>
      </c>
      <c r="R15" s="127">
        <f ca="1" t="shared" si="5"/>
        <v>0</v>
      </c>
      <c r="S15" s="127">
        <f ca="1" t="shared" si="5"/>
        <v>0</v>
      </c>
      <c r="T15" s="127">
        <f ca="1" t="shared" si="5"/>
        <v>0</v>
      </c>
      <c r="U15" s="127">
        <f ca="1" t="shared" si="5"/>
        <v>0</v>
      </c>
      <c r="V15" s="127">
        <f ca="1" t="shared" si="5"/>
        <v>0</v>
      </c>
      <c r="W15" s="127">
        <f ca="1" t="shared" si="5"/>
        <v>0</v>
      </c>
      <c r="X15" s="146"/>
      <c r="AC15" s="127">
        <f ca="1">AC17-IF(ISNUMBER(AB17),AB17,0)</f>
        <v>0</v>
      </c>
    </row>
    <row r="16" spans="1:29" s="35" customFormat="1" ht="12.75" customHeight="1">
      <c r="A16"/>
      <c r="B16"/>
      <c r="C16"/>
      <c r="D16"/>
      <c r="E16"/>
      <c r="F16"/>
      <c r="G16"/>
      <c r="H16"/>
      <c r="I16"/>
      <c r="J16"/>
      <c r="K16"/>
      <c r="L16" s="345"/>
      <c r="M16" s="346"/>
      <c r="N16" s="350"/>
      <c r="O16" s="133" t="s">
        <v>145</v>
      </c>
      <c r="P16" s="168">
        <f ca="1">ROUND(P17/$N14,4)</f>
        <v>0</v>
      </c>
      <c r="Q16" s="128">
        <f aca="true" t="shared" si="6" ref="Q16:W16">ROUND(Q17/$N14,4)</f>
        <v>0</v>
      </c>
      <c r="R16" s="128">
        <f ca="1" t="shared" si="6"/>
        <v>0</v>
      </c>
      <c r="S16" s="128">
        <f ca="1" t="shared" si="6"/>
        <v>0</v>
      </c>
      <c r="T16" s="128">
        <f ca="1" t="shared" si="6"/>
        <v>0</v>
      </c>
      <c r="U16" s="128">
        <f ca="1" t="shared" si="6"/>
        <v>0</v>
      </c>
      <c r="V16" s="128">
        <f ca="1" t="shared" si="6"/>
        <v>0</v>
      </c>
      <c r="W16" s="128">
        <f ca="1" t="shared" si="6"/>
        <v>0</v>
      </c>
      <c r="X16" s="146"/>
      <c r="AC16" s="128">
        <f ca="1">ROUND(AC17/$N14,4)</f>
        <v>0</v>
      </c>
    </row>
    <row r="17" spans="1:29" s="35" customFormat="1" ht="12.75" customHeight="1">
      <c r="A17" s="19">
        <v>0</v>
      </c>
      <c r="B17"/>
      <c r="C17"/>
      <c r="D17" s="19">
        <f>ROW(D$30)-ROW(D18)</f>
        <v>12</v>
      </c>
      <c r="E17"/>
      <c r="F17"/>
      <c r="G17"/>
      <c r="H17"/>
      <c r="I17"/>
      <c r="J17"/>
      <c r="K17"/>
      <c r="L17" s="347"/>
      <c r="M17" s="348"/>
      <c r="N17" s="351"/>
      <c r="O17" s="134" t="s">
        <v>20</v>
      </c>
      <c r="P17" s="169">
        <f ca="1">SUMIF(OFFSET($C17,1,0):$C$30,1,OFFSET(P17,1,0):P$30)</f>
        <v>0</v>
      </c>
      <c r="Q17" s="129">
        <f ca="1">SUMIF(OFFSET($C17,1,0):$C$30,1,OFFSET(Q17,1,0):Q$30)</f>
        <v>0</v>
      </c>
      <c r="R17" s="129">
        <f ca="1">SUMIF(OFFSET($C17,1,0):$C$30,1,OFFSET(R17,1,0):R$30)</f>
        <v>0</v>
      </c>
      <c r="S17" s="129">
        <f ca="1">SUMIF(OFFSET($C17,1,0):$C$30,1,OFFSET(S17,1,0):S$30)</f>
        <v>0</v>
      </c>
      <c r="T17" s="129">
        <f ca="1">SUMIF(OFFSET($C17,1,0):$C$30,1,OFFSET(T17,1,0):T$30)</f>
        <v>0</v>
      </c>
      <c r="U17" s="129">
        <f ca="1">SUMIF(OFFSET($C17,1,0):$C$30,1,OFFSET(U17,1,0):U$30)</f>
        <v>0</v>
      </c>
      <c r="V17" s="129">
        <f ca="1">SUMIF(OFFSET($C17,1,0):$C$30,1,OFFSET(V17,1,0):V$30)</f>
        <v>0</v>
      </c>
      <c r="W17" s="129">
        <f ca="1">SUMIF(OFFSET($C17,1,0):$C$30,1,OFFSET(W17,1,0):W$30)</f>
        <v>0</v>
      </c>
      <c r="X17" s="146"/>
      <c r="AC17" s="129">
        <f ca="1">SUMIF(OFFSET($C17,1,0):$C$30,1,OFFSET(AC17,1,0):AC$30)</f>
        <v>0</v>
      </c>
    </row>
    <row r="18" spans="12:29" ht="14.3" customHeight="1">
      <c r="L18" s="340" t="str">
        <f ca="1">INDEX(PO!K$12:K$40,MATCH($A20,PO!$V$12:$V$40,0))</f>
        <v>1.</v>
      </c>
      <c r="M18" s="334" t="str">
        <f ca="1">INDEX(PO!N$12:N$40,MATCH($A20,PO!$V$12:$V$40,0))</f>
        <v>SERVIÇOS PRELIMINARES</v>
      </c>
      <c r="N18" s="332">
        <f ca="1">IF(ROUND(K20,2)=0,K20,ROUND(K20,2))</f>
        <v>1E-12</v>
      </c>
      <c r="O18" s="170" t="s">
        <v>143</v>
      </c>
      <c r="P18" s="193">
        <v>1</v>
      </c>
      <c r="Q18" s="194">
        <f aca="true" t="shared" si="7" ref="Q18:W18">IF($B20,0,Q19-IF(ISNUMBER(P19),P19,0))</f>
        <v>0</v>
      </c>
      <c r="R18" s="194">
        <f ca="1" t="shared" si="7"/>
        <v>0</v>
      </c>
      <c r="S18" s="194">
        <f ca="1" t="shared" si="7"/>
        <v>0</v>
      </c>
      <c r="T18" s="194">
        <f ca="1" t="shared" si="7"/>
        <v>0</v>
      </c>
      <c r="U18" s="194">
        <f ca="1" t="shared" si="7"/>
        <v>0</v>
      </c>
      <c r="V18" s="194">
        <f ca="1" t="shared" si="7"/>
        <v>0</v>
      </c>
      <c r="W18" s="195">
        <f ca="1" t="shared" si="7"/>
        <v>0</v>
      </c>
      <c r="X18" s="164" t="s">
        <v>106</v>
      </c>
      <c r="AC18" s="188">
        <f ca="1">IF($B20,0,AC19-IF(ISNUMBER(AB19),AB19,0))</f>
        <v>0</v>
      </c>
    </row>
    <row r="19" spans="12:29" ht="13.6">
      <c r="L19" s="341"/>
      <c r="M19" s="335"/>
      <c r="N19" s="333"/>
      <c r="O19" s="145" t="s">
        <v>145</v>
      </c>
      <c r="P19" s="165">
        <f aca="true" t="shared" si="8" ref="P19:W19">MIN(IF($B20,P18+IF(ISNUMBER(O19),O19,0),P20/$N18),1)</f>
        <v>1</v>
      </c>
      <c r="Q19" s="143">
        <f ca="1" t="shared" si="8"/>
        <v>1</v>
      </c>
      <c r="R19" s="143">
        <f ca="1" t="shared" si="8"/>
        <v>1</v>
      </c>
      <c r="S19" s="143">
        <f ca="1" t="shared" si="8"/>
        <v>1</v>
      </c>
      <c r="T19" s="143">
        <f ca="1" t="shared" si="8"/>
        <v>1</v>
      </c>
      <c r="U19" s="143">
        <f ca="1" t="shared" si="8"/>
        <v>1</v>
      </c>
      <c r="V19" s="143">
        <f ca="1" t="shared" si="8"/>
        <v>1</v>
      </c>
      <c r="W19" s="143">
        <f ca="1" t="shared" si="8"/>
        <v>1</v>
      </c>
      <c r="X19" s="163"/>
      <c r="AC19" s="143">
        <f ca="1">MIN(IF($B20,AC18+IF(ISNUMBER(AB19),AB19,0),AC20/$N18),1)</f>
        <v>0</v>
      </c>
    </row>
    <row r="20" spans="1:29" ht="13.6">
      <c r="A20" s="19">
        <f ca="1">OFFSET(A20,-CFF.NumLinha,0)+1</f>
        <v>1</v>
      </c>
      <c r="B20" t="b">
        <f ca="1">$C20&gt;=OFFSET($C20,CFF.NumLinha,0)</f>
        <v>1</v>
      </c>
      <c r="C20" s="11">
        <f ca="1">INDEX(PO!A$12:A$40,MATCH($A20,PO!$V$12:$V$40,0))</f>
        <v>1</v>
      </c>
      <c r="D20" s="11">
        <f ca="1">IF(ISERROR(J20),I20,SMALL(I20:J20,1))-1</f>
        <v>2</v>
      </c>
      <c r="E20" s="11">
        <f ca="1">IF($C20=1,OFFSET(E20,-CFF.NumLinha,0)+1,OFFSET(E20,-CFF.NumLinha,0))</f>
        <v>1</v>
      </c>
      <c r="F20" s="11">
        <f ca="1">IF($C20=1,0,IF($C20=2,OFFSET(F20,-CFF.NumLinha,0)+1,OFFSET(F20,-CFF.NumLinha,0)))</f>
        <v>0</v>
      </c>
      <c r="G20" s="11">
        <f ca="1">IF(AND($C20&lt;=2,$C20&lt;&gt;0),0,IF($C20=3,OFFSET(G20,-CFF.NumLinha,0)+1,OFFSET(G20,-CFF.NumLinha,0)))</f>
        <v>0</v>
      </c>
      <c r="H20" s="11">
        <f ca="1">IF(AND($C20&lt;=3,$C20&lt;&gt;0),0,IF($C20=4,OFFSET(H20,-CFF.NumLinha,0)+1,OFFSET(H20,-CFF.NumLinha,0)))</f>
        <v>0</v>
      </c>
      <c r="I20" s="11">
        <f ca="1">MATCH(0,OFFSET($D20,1,$C20,ROW($A$30)-ROW($A20)),0)</f>
        <v>10</v>
      </c>
      <c r="J20" s="11">
        <f ca="1">MATCH(OFFSET($D20,0,$C20)+1,OFFSET($D20,1,$C20,ROW($A$30)-ROW($A20)),0)</f>
        <v>3</v>
      </c>
      <c r="K20" s="156">
        <f ca="1">ROUND(INDEX(PO!T$12:T$40,MATCH($A20,PO!$V$12:$V$40,0)),2)+10^-12</f>
        <v>1E-12</v>
      </c>
      <c r="L20" s="341"/>
      <c r="M20" s="335"/>
      <c r="N20" s="333"/>
      <c r="O20" s="171" t="s">
        <v>20</v>
      </c>
      <c r="P20" s="166">
        <f aca="true" ca="1" t="shared" si="9" ref="P20:W20">IF($B20,ROUND(P19*$N18,2),ROUND(SUMIF(OFFSET($B20,1,0,$D20),TRUE,OFFSET(P20,1,0,$D20))/SUMIF(OFFSET($B20,1,0,$D20),TRUE,OFFSET($K20,1,0,$D20))*$N18,2))</f>
        <v>0</v>
      </c>
      <c r="Q20" s="144">
        <f ca="1" t="shared" si="9"/>
        <v>0</v>
      </c>
      <c r="R20" s="144">
        <f ca="1" t="shared" si="9"/>
        <v>0</v>
      </c>
      <c r="S20" s="144">
        <f ca="1" t="shared" si="9"/>
        <v>0</v>
      </c>
      <c r="T20" s="144">
        <f ca="1" t="shared" si="9"/>
        <v>0</v>
      </c>
      <c r="U20" s="144">
        <f ca="1" t="shared" si="9"/>
        <v>0</v>
      </c>
      <c r="V20" s="144">
        <f ca="1" t="shared" si="9"/>
        <v>0</v>
      </c>
      <c r="W20" s="174">
        <f ca="1" t="shared" si="9"/>
        <v>0</v>
      </c>
      <c r="X20" s="163"/>
      <c r="AC20" s="144">
        <f ca="1">IF($B20,ROUND(AC19*$N18,2),ROUND(SUMIF(OFFSET($B20,1,0,$D20),TRUE,OFFSET(AC20,1,0,$D20))/SUMIF(OFFSET($B20,1,0,$D20),TRUE,OFFSET($K20,1,0,$D20))*$N18,2))</f>
        <v>0</v>
      </c>
    </row>
    <row r="21" spans="1:29" ht="14.3" customHeight="1">
      <c r="A21" s="1"/>
      <c r="B21" s="1"/>
      <c r="C21" s="1"/>
      <c r="D21" s="1"/>
      <c r="E21" s="1"/>
      <c r="F21" s="1"/>
      <c r="G21" s="1"/>
      <c r="H21" s="1"/>
      <c r="I21" s="1"/>
      <c r="J21" s="1"/>
      <c r="K21" s="1"/>
      <c r="L21" s="340" t="str">
        <f ca="1">INDEX(PO!K$12:K$40,MATCH($A23,PO!$V$12:$V$40,0))</f>
        <v>2.</v>
      </c>
      <c r="M21" s="334" t="str">
        <f ca="1">INDEX(PO!N$12:N$40,MATCH($A23,PO!$V$12:$V$40,0))</f>
        <v>DRENAGEM - Rede de esgoto Pluvial e Sarjetas</v>
      </c>
      <c r="N21" s="332">
        <f ca="1">IF(ROUND(K23,2)=0,K23,ROUND(K23,2))</f>
        <v>1E-12</v>
      </c>
      <c r="O21" s="187" t="s">
        <v>143</v>
      </c>
      <c r="P21" s="193">
        <v>1</v>
      </c>
      <c r="Q21" s="194">
        <f aca="true" t="shared" si="10" ref="Q21:W21">IF($B23,0,Q22-IF(ISNUMBER(P22),P22,0))</f>
        <v>0</v>
      </c>
      <c r="R21" s="194">
        <f ca="1" t="shared" si="10"/>
        <v>0</v>
      </c>
      <c r="S21" s="194">
        <f ca="1" t="shared" si="10"/>
        <v>0</v>
      </c>
      <c r="T21" s="194">
        <f ca="1" t="shared" si="10"/>
        <v>0</v>
      </c>
      <c r="U21" s="194">
        <f ca="1" t="shared" si="10"/>
        <v>0</v>
      </c>
      <c r="V21" s="194">
        <f ca="1" t="shared" si="10"/>
        <v>0</v>
      </c>
      <c r="W21" s="195">
        <f ca="1" t="shared" si="10"/>
        <v>0</v>
      </c>
      <c r="X21" s="163"/>
      <c r="AC21" s="188">
        <f ca="1">IF($B23,0,AC22-IF(ISNUMBER(AB22),AB22,0))</f>
        <v>0</v>
      </c>
    </row>
    <row r="22" spans="1:29" ht="13.6">
      <c r="A22" s="11"/>
      <c r="B22" s="11"/>
      <c r="C22" s="11"/>
      <c r="D22" s="11"/>
      <c r="E22" s="11"/>
      <c r="F22" s="11"/>
      <c r="G22" s="11"/>
      <c r="H22" s="11"/>
      <c r="I22" s="11"/>
      <c r="J22" s="11"/>
      <c r="K22" s="11"/>
      <c r="L22" s="341"/>
      <c r="M22" s="335"/>
      <c r="N22" s="333"/>
      <c r="O22" s="145" t="s">
        <v>145</v>
      </c>
      <c r="P22" s="165">
        <f aca="true" t="shared" si="11" ref="P22:W22">MIN(IF($B23,P21+IF(ISNUMBER(O22),O22,0),P23/$N21),1)</f>
        <v>1</v>
      </c>
      <c r="Q22" s="143">
        <f ca="1" t="shared" si="11"/>
        <v>1</v>
      </c>
      <c r="R22" s="143">
        <f ca="1" t="shared" si="11"/>
        <v>1</v>
      </c>
      <c r="S22" s="143">
        <f ca="1" t="shared" si="11"/>
        <v>1</v>
      </c>
      <c r="T22" s="143">
        <f ca="1" t="shared" si="11"/>
        <v>1</v>
      </c>
      <c r="U22" s="143">
        <f ca="1" t="shared" si="11"/>
        <v>1</v>
      </c>
      <c r="V22" s="143">
        <f ca="1" t="shared" si="11"/>
        <v>1</v>
      </c>
      <c r="W22" s="143">
        <f ca="1" t="shared" si="11"/>
        <v>1</v>
      </c>
      <c r="X22" s="163"/>
      <c r="AC22" s="143">
        <f ca="1">MIN(IF($B23,AC21+IF(ISNUMBER(AB22),AB22,0),AC23/$N21),1)</f>
        <v>0</v>
      </c>
    </row>
    <row r="23" spans="1:29" ht="13.6">
      <c r="A23" s="11">
        <f ca="1">OFFSET(A23,-CFF.NumLinha,0)+1</f>
        <v>2</v>
      </c>
      <c r="B23" s="11" t="b">
        <f ca="1">$C23&gt;=OFFSET($C23,CFF.NumLinha,0)</f>
        <v>1</v>
      </c>
      <c r="C23" s="11">
        <f ca="1">INDEX(PO!A$12:A$40,MATCH($A23,PO!$V$12:$V$40,0))</f>
        <v>1</v>
      </c>
      <c r="D23" s="11">
        <f ca="1">IF(ISERROR(J23),I23,SMALL(I23:J23,1))-1</f>
        <v>2</v>
      </c>
      <c r="E23" s="11">
        <f ca="1">IF($C23=1,OFFSET(E23,-CFF.NumLinha,0)+1,OFFSET(E23,-CFF.NumLinha,0))</f>
        <v>2</v>
      </c>
      <c r="F23" s="11">
        <f ca="1">IF($C23=1,0,IF($C23=2,OFFSET(F23,-CFF.NumLinha,0)+1,OFFSET(F23,-CFF.NumLinha,0)))</f>
        <v>0</v>
      </c>
      <c r="G23" s="11">
        <f ca="1">IF(AND($C23&lt;=2,$C23&lt;&gt;0),0,IF($C23=3,OFFSET(G23,-CFF.NumLinha,0)+1,OFFSET(G23,-CFF.NumLinha,0)))</f>
        <v>0</v>
      </c>
      <c r="H23" s="11">
        <f ca="1">IF(AND($C23&lt;=3,$C23&lt;&gt;0),0,IF($C23=4,OFFSET(H23,-CFF.NumLinha,0)+1,OFFSET(H23,-CFF.NumLinha,0)))</f>
        <v>0</v>
      </c>
      <c r="I23" s="11">
        <f ca="1">MATCH(0,OFFSET($D23,1,$C23,ROW($A$30)-ROW($A23)),0)</f>
        <v>7</v>
      </c>
      <c r="J23" s="11">
        <f ca="1">MATCH(OFFSET($D23,0,$C23)+1,OFFSET($D23,1,$C23,ROW($A$30)-ROW($A23)),0)</f>
        <v>3</v>
      </c>
      <c r="K23" s="156">
        <f ca="1">ROUND(INDEX(PO!T$12:T$40,MATCH($A23,PO!$V$12:$V$40,0)),2)+10^-12</f>
        <v>1E-12</v>
      </c>
      <c r="L23" s="341"/>
      <c r="M23" s="335"/>
      <c r="N23" s="333"/>
      <c r="O23" s="171" t="s">
        <v>20</v>
      </c>
      <c r="P23" s="166">
        <f aca="true" ca="1" t="shared" si="12" ref="P23:W23">IF($B23,ROUND(P22*$N21,2),ROUND(SUMIF(OFFSET($B23,1,0,$D23),TRUE,OFFSET(P23,1,0,$D23))/SUMIF(OFFSET($B23,1,0,$D23),TRUE,OFFSET($K23,1,0,$D23))*$N21,2))</f>
        <v>0</v>
      </c>
      <c r="Q23" s="144">
        <f ca="1" t="shared" si="12"/>
        <v>0</v>
      </c>
      <c r="R23" s="144">
        <f ca="1" t="shared" si="12"/>
        <v>0</v>
      </c>
      <c r="S23" s="144">
        <f ca="1" t="shared" si="12"/>
        <v>0</v>
      </c>
      <c r="T23" s="144">
        <f ca="1" t="shared" si="12"/>
        <v>0</v>
      </c>
      <c r="U23" s="144">
        <f ca="1" t="shared" si="12"/>
        <v>0</v>
      </c>
      <c r="V23" s="144">
        <f ca="1" t="shared" si="12"/>
        <v>0</v>
      </c>
      <c r="W23" s="174">
        <f ca="1" t="shared" si="12"/>
        <v>0</v>
      </c>
      <c r="X23" s="163"/>
      <c r="AC23" s="144">
        <f ca="1">IF($B23,ROUND(AC22*$N21,2),ROUND(SUMIF(OFFSET($B23,1,0,$D23),TRUE,OFFSET(AC23,1,0,$D23))/SUMIF(OFFSET($B23,1,0,$D23),TRUE,OFFSET($K23,1,0,$D23))*$N21,2))</f>
        <v>0</v>
      </c>
    </row>
    <row r="24" spans="1:29" ht="14.3" customHeight="1">
      <c r="A24" s="1"/>
      <c r="B24" s="1"/>
      <c r="C24" s="1"/>
      <c r="D24" s="1"/>
      <c r="E24" s="1"/>
      <c r="F24" s="1"/>
      <c r="G24" s="1"/>
      <c r="H24" s="1"/>
      <c r="I24" s="1"/>
      <c r="J24" s="1"/>
      <c r="K24" s="1"/>
      <c r="L24" s="340" t="str">
        <f ca="1">INDEX(PO!K$12:K$40,MATCH($A26,PO!$V$12:$V$40,0))</f>
        <v>3.</v>
      </c>
      <c r="M24" s="334" t="str">
        <f ca="1">INDEX(PO!N$12:N$40,MATCH($A26,PO!$V$12:$V$40,0))</f>
        <v xml:space="preserve">PAVIMENTAÇÃO </v>
      </c>
      <c r="N24" s="332">
        <f ca="1">IF(ROUND(K26,2)=0,K26,ROUND(K26,2))</f>
        <v>1E-12</v>
      </c>
      <c r="O24" s="187" t="s">
        <v>143</v>
      </c>
      <c r="P24" s="193">
        <v>0</v>
      </c>
      <c r="Q24" s="194">
        <v>0.25</v>
      </c>
      <c r="R24" s="194">
        <v>0.25</v>
      </c>
      <c r="S24" s="194">
        <v>0.25</v>
      </c>
      <c r="T24" s="194">
        <v>0.25</v>
      </c>
      <c r="U24" s="194">
        <f ca="1">IF($B26,0,U25-IF(ISNUMBER(T25),T25,0))</f>
        <v>0</v>
      </c>
      <c r="V24" s="194">
        <f ca="1">IF($B26,0,V25-IF(ISNUMBER(U25),U25,0))</f>
        <v>0</v>
      </c>
      <c r="W24" s="195">
        <f ca="1">IF($B26,0,W25-IF(ISNUMBER(V25),V25,0))</f>
        <v>0</v>
      </c>
      <c r="X24" s="163"/>
      <c r="AC24" s="188">
        <f ca="1">IF($B26,0,AC25-IF(ISNUMBER(AB25),AB25,0))</f>
        <v>0</v>
      </c>
    </row>
    <row r="25" spans="1:29" ht="13.6">
      <c r="A25" s="11"/>
      <c r="B25" s="11"/>
      <c r="C25" s="11"/>
      <c r="D25" s="11"/>
      <c r="E25" s="11"/>
      <c r="F25" s="11"/>
      <c r="G25" s="11"/>
      <c r="H25" s="11"/>
      <c r="I25" s="11"/>
      <c r="J25" s="11"/>
      <c r="K25" s="11"/>
      <c r="L25" s="341"/>
      <c r="M25" s="335"/>
      <c r="N25" s="333"/>
      <c r="O25" s="145" t="s">
        <v>145</v>
      </c>
      <c r="P25" s="165">
        <f aca="true" t="shared" si="13" ref="P25:W25">MIN(IF($B26,P24+IF(ISNUMBER(O25),O25,0),P26/$N24),1)</f>
        <v>0</v>
      </c>
      <c r="Q25" s="143">
        <f ca="1" t="shared" si="13"/>
        <v>0.25</v>
      </c>
      <c r="R25" s="143">
        <f ca="1" t="shared" si="13"/>
        <v>0.5</v>
      </c>
      <c r="S25" s="143">
        <f ca="1" t="shared" si="13"/>
        <v>0.75</v>
      </c>
      <c r="T25" s="143">
        <f ca="1" t="shared" si="13"/>
        <v>1</v>
      </c>
      <c r="U25" s="143">
        <f ca="1" t="shared" si="13"/>
        <v>1</v>
      </c>
      <c r="V25" s="143">
        <f ca="1" t="shared" si="13"/>
        <v>1</v>
      </c>
      <c r="W25" s="143">
        <f ca="1" t="shared" si="13"/>
        <v>1</v>
      </c>
      <c r="X25" s="163"/>
      <c r="AC25" s="143">
        <f ca="1">MIN(IF($B26,AC24+IF(ISNUMBER(AB25),AB25,0),AC26/$N24),1)</f>
        <v>0</v>
      </c>
    </row>
    <row r="26" spans="1:29" ht="13.6">
      <c r="A26" s="11">
        <f ca="1">OFFSET(A26,-CFF.NumLinha,0)+1</f>
        <v>3</v>
      </c>
      <c r="B26" s="11" t="b">
        <f ca="1">$C26&gt;=OFFSET($C26,CFF.NumLinha,0)</f>
        <v>1</v>
      </c>
      <c r="C26" s="11">
        <f ca="1">INDEX(PO!A$12:A$40,MATCH($A26,PO!$V$12:$V$40,0))</f>
        <v>1</v>
      </c>
      <c r="D26" s="11">
        <f ca="1">IF(ISERROR(J26),I26,SMALL(I26:J26,1))-1</f>
        <v>2</v>
      </c>
      <c r="E26" s="11">
        <f ca="1">IF($C26=1,OFFSET(E26,-CFF.NumLinha,0)+1,OFFSET(E26,-CFF.NumLinha,0))</f>
        <v>3</v>
      </c>
      <c r="F26" s="11">
        <f ca="1">IF($C26=1,0,IF($C26=2,OFFSET(F26,-CFF.NumLinha,0)+1,OFFSET(F26,-CFF.NumLinha,0)))</f>
        <v>0</v>
      </c>
      <c r="G26" s="11">
        <f ca="1">IF(AND($C26&lt;=2,$C26&lt;&gt;0),0,IF($C26=3,OFFSET(G26,-CFF.NumLinha,0)+1,OFFSET(G26,-CFF.NumLinha,0)))</f>
        <v>0</v>
      </c>
      <c r="H26" s="11">
        <f ca="1">IF(AND($C26&lt;=3,$C26&lt;&gt;0),0,IF($C26=4,OFFSET(H26,-CFF.NumLinha,0)+1,OFFSET(H26,-CFF.NumLinha,0)))</f>
        <v>0</v>
      </c>
      <c r="I26" s="11">
        <f ca="1">MATCH(0,OFFSET($D26,1,$C26,ROW($A$30)-ROW($A26)),0)</f>
        <v>4</v>
      </c>
      <c r="J26" s="11">
        <f ca="1">MATCH(OFFSET($D26,0,$C26)+1,OFFSET($D26,1,$C26,ROW($A$30)-ROW($A26)),0)</f>
        <v>3</v>
      </c>
      <c r="K26" s="156">
        <f ca="1">ROUND(INDEX(PO!T$12:T$40,MATCH($A26,PO!$V$12:$V$40,0)),2)+10^-12</f>
        <v>1E-12</v>
      </c>
      <c r="L26" s="341"/>
      <c r="M26" s="335"/>
      <c r="N26" s="333"/>
      <c r="O26" s="171" t="s">
        <v>20</v>
      </c>
      <c r="P26" s="166">
        <f aca="true" ca="1" t="shared" si="14" ref="P26:W26">IF($B26,ROUND(P25*$N24,2),ROUND(SUMIF(OFFSET($B26,1,0,$D26),TRUE,OFFSET(P26,1,0,$D26))/SUMIF(OFFSET($B26,1,0,$D26),TRUE,OFFSET($K26,1,0,$D26))*$N24,2))</f>
        <v>0</v>
      </c>
      <c r="Q26" s="144">
        <f ca="1" t="shared" si="14"/>
        <v>0</v>
      </c>
      <c r="R26" s="144">
        <f ca="1" t="shared" si="14"/>
        <v>0</v>
      </c>
      <c r="S26" s="144">
        <f ca="1" t="shared" si="14"/>
        <v>0</v>
      </c>
      <c r="T26" s="144">
        <f ca="1" t="shared" si="14"/>
        <v>0</v>
      </c>
      <c r="U26" s="144">
        <f ca="1" t="shared" si="14"/>
        <v>0</v>
      </c>
      <c r="V26" s="144">
        <f ca="1" t="shared" si="14"/>
        <v>0</v>
      </c>
      <c r="W26" s="174">
        <f ca="1" t="shared" si="14"/>
        <v>0</v>
      </c>
      <c r="X26" s="163"/>
      <c r="AC26" s="144">
        <f ca="1">IF($B26,ROUND(AC25*$N24,2),ROUND(SUMIF(OFFSET($B26,1,0,$D26),TRUE,OFFSET(AC26,1,0,$D26))/SUMIF(OFFSET($B26,1,0,$D26),TRUE,OFFSET($K26,1,0,$D26))*$N24,2))</f>
        <v>0</v>
      </c>
    </row>
    <row r="27" spans="1:29" ht="14.3" customHeight="1">
      <c r="A27" s="1"/>
      <c r="B27" s="1"/>
      <c r="C27" s="1"/>
      <c r="D27" s="1"/>
      <c r="E27" s="1"/>
      <c r="F27" s="1"/>
      <c r="G27" s="1"/>
      <c r="H27" s="1"/>
      <c r="I27" s="1"/>
      <c r="J27" s="1"/>
      <c r="K27" s="1"/>
      <c r="L27" s="340" t="str">
        <f ca="1">INDEX(PO!K$12:K$40,MATCH($A29,PO!$V$12:$V$40,0))</f>
        <v>4.</v>
      </c>
      <c r="M27" s="334" t="str">
        <f ca="1">INDEX(PO!N$12:N$40,MATCH($A29,PO!$V$12:$V$40,0))</f>
        <v>SINALIZAÇÃO</v>
      </c>
      <c r="N27" s="332">
        <f ca="1">IF(ROUND(K29,2)=0,K29,ROUND(K29,2))</f>
        <v>1E-12</v>
      </c>
      <c r="O27" s="187" t="s">
        <v>143</v>
      </c>
      <c r="P27" s="193">
        <f ca="1">IF($B29,0,P28-IF(ISNUMBER(O28),O28,0))</f>
        <v>0</v>
      </c>
      <c r="Q27" s="194">
        <f ca="1">IF($B29,0,Q28-IF(ISNUMBER(P28),P28,0))</f>
        <v>0</v>
      </c>
      <c r="R27" s="194">
        <f ca="1">IF($B29,0,R28-IF(ISNUMBER(Q28),Q28,0))</f>
        <v>0</v>
      </c>
      <c r="S27" s="194">
        <v>0.5</v>
      </c>
      <c r="T27" s="194">
        <v>0.5</v>
      </c>
      <c r="U27" s="194">
        <f ca="1">IF($B29,0,U28-IF(ISNUMBER(T28),T28,0))</f>
        <v>0</v>
      </c>
      <c r="V27" s="194">
        <f ca="1">IF($B29,0,V28-IF(ISNUMBER(U28),U28,0))</f>
        <v>0</v>
      </c>
      <c r="W27" s="195">
        <f ca="1">IF($B29,0,W28-IF(ISNUMBER(V28),V28,0))</f>
        <v>0</v>
      </c>
      <c r="X27" s="163"/>
      <c r="AC27" s="188">
        <f ca="1">IF($B29,0,AC28-IF(ISNUMBER(AB28),AB28,0))</f>
        <v>0</v>
      </c>
    </row>
    <row r="28" spans="1:29" ht="13.6">
      <c r="A28" s="11"/>
      <c r="B28" s="11"/>
      <c r="C28" s="11"/>
      <c r="D28" s="11"/>
      <c r="E28" s="11"/>
      <c r="F28" s="11"/>
      <c r="G28" s="11"/>
      <c r="H28" s="11"/>
      <c r="I28" s="11"/>
      <c r="J28" s="11"/>
      <c r="K28" s="11"/>
      <c r="L28" s="341"/>
      <c r="M28" s="335"/>
      <c r="N28" s="333"/>
      <c r="O28" s="145" t="s">
        <v>145</v>
      </c>
      <c r="P28" s="165">
        <f aca="true" t="shared" si="15" ref="P28:W28">MIN(IF($B29,P27+IF(ISNUMBER(O28),O28,0),P29/$N27),1)</f>
        <v>0</v>
      </c>
      <c r="Q28" s="143">
        <f ca="1" t="shared" si="15"/>
        <v>0</v>
      </c>
      <c r="R28" s="143">
        <f ca="1" t="shared" si="15"/>
        <v>0</v>
      </c>
      <c r="S28" s="143">
        <f ca="1" t="shared" si="15"/>
        <v>0.5</v>
      </c>
      <c r="T28" s="143">
        <f ca="1" t="shared" si="15"/>
        <v>1</v>
      </c>
      <c r="U28" s="143">
        <f ca="1" t="shared" si="15"/>
        <v>1</v>
      </c>
      <c r="V28" s="143">
        <f ca="1" t="shared" si="15"/>
        <v>1</v>
      </c>
      <c r="W28" s="143">
        <f ca="1" t="shared" si="15"/>
        <v>1</v>
      </c>
      <c r="X28" s="163"/>
      <c r="AC28" s="143">
        <f ca="1">MIN(IF($B29,AC27+IF(ISNUMBER(AB28),AB28,0),AC29/$N27),1)</f>
        <v>0</v>
      </c>
    </row>
    <row r="29" spans="1:29" ht="13.6">
      <c r="A29" s="11">
        <f ca="1">OFFSET(A29,-CFF.NumLinha,0)+1</f>
        <v>4</v>
      </c>
      <c r="B29" s="11" t="b">
        <f ca="1">$C29&gt;=OFFSET($C29,CFF.NumLinha,0)</f>
        <v>1</v>
      </c>
      <c r="C29" s="11">
        <f ca="1">INDEX(PO!A$12:A$40,MATCH($A29,PO!$V$12:$V$40,0))</f>
        <v>1</v>
      </c>
      <c r="D29" s="11">
        <f ca="1">IF(ISERROR(J29),I29,SMALL(I29:J29,1))-1</f>
        <v>0</v>
      </c>
      <c r="E29" s="11">
        <f ca="1">IF($C29=1,OFFSET(E29,-CFF.NumLinha,0)+1,OFFSET(E29,-CFF.NumLinha,0))</f>
        <v>4</v>
      </c>
      <c r="F29" s="11">
        <f ca="1">IF($C29=1,0,IF($C29=2,OFFSET(F29,-CFF.NumLinha,0)+1,OFFSET(F29,-CFF.NumLinha,0)))</f>
        <v>0</v>
      </c>
      <c r="G29" s="11">
        <f ca="1">IF(AND($C29&lt;=2,$C29&lt;&gt;0),0,IF($C29=3,OFFSET(G29,-CFF.NumLinha,0)+1,OFFSET(G29,-CFF.NumLinha,0)))</f>
        <v>0</v>
      </c>
      <c r="H29" s="11">
        <f ca="1">IF(AND($C29&lt;=3,$C29&lt;&gt;0),0,IF($C29=4,OFFSET(H29,-CFF.NumLinha,0)+1,OFFSET(H29,-CFF.NumLinha,0)))</f>
        <v>0</v>
      </c>
      <c r="I29" s="11">
        <f ca="1">MATCH(0,OFFSET($D29,1,$C29,ROW($A$30)-ROW($A29)),0)</f>
        <v>1</v>
      </c>
      <c r="J29" s="11" t="e">
        <f ca="1">MATCH(OFFSET($D29,0,$C29)+1,OFFSET($D29,1,$C29,ROW($A$30)-ROW($A29)),0)</f>
        <v>#N/A</v>
      </c>
      <c r="K29" s="156">
        <f ca="1">ROUND(INDEX(PO!T$12:T$40,MATCH($A29,PO!$V$12:$V$40,0)),2)+10^-12</f>
        <v>1E-12</v>
      </c>
      <c r="L29" s="341"/>
      <c r="M29" s="335"/>
      <c r="N29" s="333"/>
      <c r="O29" s="171" t="s">
        <v>20</v>
      </c>
      <c r="P29" s="166">
        <f aca="true" ca="1" t="shared" si="16" ref="P29:W29">IF($B29,ROUND(P28*$N27,2),ROUND(SUMIF(OFFSET($B29,1,0,$D29),TRUE,OFFSET(P29,1,0,$D29))/SUMIF(OFFSET($B29,1,0,$D29),TRUE,OFFSET($K29,1,0,$D29))*$N27,2))</f>
        <v>0</v>
      </c>
      <c r="Q29" s="144">
        <f ca="1" t="shared" si="16"/>
        <v>0</v>
      </c>
      <c r="R29" s="144">
        <f ca="1" t="shared" si="16"/>
        <v>0</v>
      </c>
      <c r="S29" s="144">
        <f ca="1" t="shared" si="16"/>
        <v>0</v>
      </c>
      <c r="T29" s="144">
        <f ca="1" t="shared" si="16"/>
        <v>0</v>
      </c>
      <c r="U29" s="144">
        <f ca="1" t="shared" si="16"/>
        <v>0</v>
      </c>
      <c r="V29" s="144">
        <f ca="1" t="shared" si="16"/>
        <v>0</v>
      </c>
      <c r="W29" s="174">
        <f ca="1" t="shared" si="16"/>
        <v>0</v>
      </c>
      <c r="X29" s="163"/>
      <c r="AC29" s="144">
        <f ca="1">IF($B29,ROUND(AC28*$N27,2),ROUND(SUMIF(OFFSET($B29,1,0,$D29),TRUE,OFFSET(AC29,1,0,$D29))/SUMIF(OFFSET($B29,1,0,$D29),TRUE,OFFSET($K29,1,0,$D29))*$N27,2))</f>
        <v>0</v>
      </c>
    </row>
    <row r="30" spans="1:29" ht="12.75" customHeight="1">
      <c r="A30"/>
      <c r="B30"/>
      <c r="C30" s="11">
        <v>-1</v>
      </c>
      <c r="D30" s="11"/>
      <c r="E30" s="11">
        <v>0</v>
      </c>
      <c r="F30" s="11">
        <v>0</v>
      </c>
      <c r="G30" s="11">
        <v>0</v>
      </c>
      <c r="H30" s="11">
        <v>0</v>
      </c>
      <c r="I30"/>
      <c r="J30"/>
      <c r="K30"/>
      <c r="L30" s="69"/>
      <c r="M30" s="69"/>
      <c r="N30" s="131"/>
      <c r="O30" s="69"/>
      <c r="P30" s="69"/>
      <c r="Q30" s="131"/>
      <c r="R30" s="69"/>
      <c r="S30" s="69"/>
      <c r="T30" s="69"/>
      <c r="U30" s="69"/>
      <c r="V30" s="69"/>
      <c r="W30" s="69"/>
      <c r="X30" s="157"/>
      <c r="AC30" s="69"/>
    </row>
    <row r="31" spans="1:29" ht="12.1" customHeight="1">
      <c r="A31"/>
      <c r="B31"/>
      <c r="C31"/>
      <c r="D31"/>
      <c r="E31"/>
      <c r="F31"/>
      <c r="G31"/>
      <c r="H31"/>
      <c r="I31"/>
      <c r="J31"/>
      <c r="K31"/>
      <c r="L31" s="1"/>
      <c r="M31" s="1"/>
      <c r="N31" s="1"/>
      <c r="O31" s="1"/>
      <c r="P31" s="1"/>
      <c r="Q31" s="1"/>
      <c r="R31" s="1"/>
      <c r="S31" s="1"/>
      <c r="T31" s="1"/>
      <c r="U31" s="1"/>
      <c r="V31" s="1"/>
      <c r="W31" s="1"/>
      <c r="X31" s="157"/>
      <c r="AC31" s="1"/>
    </row>
    <row r="32" spans="1:29" ht="12.75">
      <c r="A32"/>
      <c r="B32"/>
      <c r="C32"/>
      <c r="D32"/>
      <c r="E32"/>
      <c r="F32"/>
      <c r="G32"/>
      <c r="H32"/>
      <c r="I32"/>
      <c r="J32"/>
      <c r="K32"/>
      <c r="L32" s="339">
        <f>DADOS!I32</f>
        <v>0</v>
      </c>
      <c r="M32" s="339"/>
      <c r="N32" s="339"/>
      <c r="O32" s="1"/>
      <c r="P32" s="158"/>
      <c r="Q32" s="336"/>
      <c r="R32" s="336"/>
      <c r="S32" s="336"/>
      <c r="T32" s="1"/>
      <c r="U32" s="1"/>
      <c r="V32" s="1"/>
      <c r="W32" s="1"/>
      <c r="X32" s="157"/>
      <c r="AC32" s="1"/>
    </row>
    <row r="33" spans="1:29" ht="13.6">
      <c r="A33"/>
      <c r="B33"/>
      <c r="C33"/>
      <c r="D33"/>
      <c r="E33"/>
      <c r="F33"/>
      <c r="G33"/>
      <c r="H33"/>
      <c r="I33"/>
      <c r="J33"/>
      <c r="K33"/>
      <c r="L33" s="159" t="s">
        <v>120</v>
      </c>
      <c r="M33" s="338"/>
      <c r="N33" s="338"/>
      <c r="O33" s="1"/>
      <c r="P33" s="158"/>
      <c r="Q33" s="336"/>
      <c r="R33" s="336"/>
      <c r="S33" s="336"/>
      <c r="T33" s="1"/>
      <c r="U33" s="1"/>
      <c r="V33" s="1"/>
      <c r="W33" s="1"/>
      <c r="X33" s="157"/>
      <c r="AC33" s="1"/>
    </row>
    <row r="34" spans="1:29" ht="12.75">
      <c r="A34"/>
      <c r="B34"/>
      <c r="C34"/>
      <c r="D34"/>
      <c r="E34"/>
      <c r="F34"/>
      <c r="G34"/>
      <c r="H34"/>
      <c r="I34"/>
      <c r="J34"/>
      <c r="K34"/>
      <c r="L34" s="158"/>
      <c r="M34" s="337"/>
      <c r="N34" s="338"/>
      <c r="O34" s="1"/>
      <c r="P34" s="158"/>
      <c r="Q34" s="336"/>
      <c r="R34" s="336"/>
      <c r="S34" s="336"/>
      <c r="T34" s="1"/>
      <c r="U34" s="1"/>
      <c r="V34" s="1"/>
      <c r="W34" s="1"/>
      <c r="X34" s="157"/>
      <c r="AC34" s="1"/>
    </row>
    <row r="35" spans="1:29" ht="12.75">
      <c r="A35"/>
      <c r="B35"/>
      <c r="C35"/>
      <c r="D35"/>
      <c r="E35"/>
      <c r="F35"/>
      <c r="G35"/>
      <c r="H35"/>
      <c r="I35"/>
      <c r="J35"/>
      <c r="K35"/>
      <c r="L35" s="342">
        <f ca="1">PO!K54</f>
        <v>43563</v>
      </c>
      <c r="M35" s="342"/>
      <c r="N35" s="342"/>
      <c r="O35" s="1"/>
      <c r="P35" s="1"/>
      <c r="Q35" s="1"/>
      <c r="R35" s="1"/>
      <c r="S35" s="1"/>
      <c r="T35" s="1"/>
      <c r="U35" s="1"/>
      <c r="V35" s="1"/>
      <c r="W35" s="1"/>
      <c r="X35" s="160"/>
      <c r="AC35" s="1"/>
    </row>
    <row r="36" spans="1:29" ht="12.75">
      <c r="A36"/>
      <c r="B36"/>
      <c r="C36"/>
      <c r="D36"/>
      <c r="E36"/>
      <c r="F36"/>
      <c r="G36"/>
      <c r="H36"/>
      <c r="I36"/>
      <c r="J36"/>
      <c r="K36"/>
      <c r="L36" s="161" t="s">
        <v>121</v>
      </c>
      <c r="M36" s="69"/>
      <c r="N36" s="69"/>
      <c r="O36" s="1"/>
      <c r="P36" s="1"/>
      <c r="Q36" s="1"/>
      <c r="R36" s="1"/>
      <c r="S36" s="1"/>
      <c r="T36" s="1"/>
      <c r="U36" s="1"/>
      <c r="V36" s="1"/>
      <c r="W36" s="1"/>
      <c r="X36" s="160"/>
      <c r="AC36" s="1"/>
    </row>
    <row r="37" spans="1:29" ht="12.75">
      <c r="A37"/>
      <c r="B37"/>
      <c r="C37"/>
      <c r="D37"/>
      <c r="E37"/>
      <c r="F37"/>
      <c r="G37"/>
      <c r="H37"/>
      <c r="I37"/>
      <c r="J37"/>
      <c r="K37"/>
      <c r="L37" s="1"/>
      <c r="M37" s="1"/>
      <c r="N37" s="1"/>
      <c r="O37" s="1"/>
      <c r="P37" s="1"/>
      <c r="Q37" s="1"/>
      <c r="R37" s="1"/>
      <c r="S37" s="1"/>
      <c r="T37" s="1"/>
      <c r="U37" s="1"/>
      <c r="V37" s="1"/>
      <c r="W37" s="1"/>
      <c r="X37" s="160"/>
      <c r="AC37" s="1"/>
    </row>
    <row r="38" spans="1:29" ht="12.75">
      <c r="A38"/>
      <c r="B38"/>
      <c r="C38"/>
      <c r="D38"/>
      <c r="E38"/>
      <c r="F38"/>
      <c r="G38"/>
      <c r="H38"/>
      <c r="I38"/>
      <c r="J38"/>
      <c r="K38"/>
      <c r="L38" s="1"/>
      <c r="M38" s="1"/>
      <c r="N38" s="4"/>
      <c r="O38" s="1"/>
      <c r="P38" s="1"/>
      <c r="Q38" s="1"/>
      <c r="R38" s="1"/>
      <c r="S38" s="1"/>
      <c r="T38" s="1"/>
      <c r="U38" s="1"/>
      <c r="V38" s="1"/>
      <c r="W38" s="1"/>
      <c r="X38" s="157"/>
      <c r="AC38" s="1"/>
    </row>
    <row r="39" spans="1:29" ht="12.75">
      <c r="A39"/>
      <c r="B39"/>
      <c r="C39"/>
      <c r="D39"/>
      <c r="E39"/>
      <c r="F39"/>
      <c r="G39"/>
      <c r="H39"/>
      <c r="I39"/>
      <c r="J39"/>
      <c r="K39"/>
      <c r="L39" s="1"/>
      <c r="M39" s="1"/>
      <c r="N39" s="4"/>
      <c r="O39" s="1"/>
      <c r="P39" s="1"/>
      <c r="Q39" s="1"/>
      <c r="R39" s="1"/>
      <c r="S39" s="1"/>
      <c r="T39" s="1"/>
      <c r="U39" s="1"/>
      <c r="V39" s="1"/>
      <c r="W39" s="1"/>
      <c r="X39" s="157"/>
      <c r="AC39" s="1"/>
    </row>
    <row r="40" spans="1:29" ht="12.75">
      <c r="A40"/>
      <c r="B40"/>
      <c r="C40"/>
      <c r="D40"/>
      <c r="E40"/>
      <c r="F40"/>
      <c r="G40"/>
      <c r="H40"/>
      <c r="I40"/>
      <c r="J40"/>
      <c r="K40"/>
      <c r="L40" s="1"/>
      <c r="M40" s="1"/>
      <c r="N40" s="4"/>
      <c r="O40" s="1"/>
      <c r="P40" s="1"/>
      <c r="Q40" s="1"/>
      <c r="R40" s="1"/>
      <c r="S40" s="1"/>
      <c r="T40" s="1"/>
      <c r="U40" s="1"/>
      <c r="V40" s="1"/>
      <c r="W40" s="1"/>
      <c r="X40" s="157"/>
      <c r="AC40" s="1"/>
    </row>
  </sheetData>
  <sheetProtection algorithmName="SHA-512" hashValue="dwKmnKJbeDwVDZFi6xn7iq2XyDFHv56dDey3Y0G/4dAZ5JfnenxenmfkpvHW8kvxFBrBtY3WyvHs/G4GGDn/7A==" saltValue="msy5aVpgmAOKiR1XDpeH5g==" spinCount="100000" sheet="1" objects="1" scenarios="1"/>
  <mergeCells count="25">
    <mergeCell ref="L35:N35"/>
    <mergeCell ref="L11:L13"/>
    <mergeCell ref="M11:M13"/>
    <mergeCell ref="L14:M17"/>
    <mergeCell ref="N14:N17"/>
    <mergeCell ref="L18:L20"/>
    <mergeCell ref="L27:L29"/>
    <mergeCell ref="M27:M29"/>
    <mergeCell ref="N27:N29"/>
    <mergeCell ref="L8:M8"/>
    <mergeCell ref="N11:N13"/>
    <mergeCell ref="M18:M20"/>
    <mergeCell ref="N18:N20"/>
    <mergeCell ref="Q34:S34"/>
    <mergeCell ref="M34:N34"/>
    <mergeCell ref="Q33:S33"/>
    <mergeCell ref="Q32:S32"/>
    <mergeCell ref="L32:N32"/>
    <mergeCell ref="M33:N33"/>
    <mergeCell ref="L21:L23"/>
    <mergeCell ref="M21:M23"/>
    <mergeCell ref="N21:N23"/>
    <mergeCell ref="L24:L26"/>
    <mergeCell ref="M24:M26"/>
    <mergeCell ref="N24:N26"/>
  </mergeCells>
  <conditionalFormatting sqref="L11:N11 L12:M13 L18:N18">
    <cfRule type="expression" priority="1018" dxfId="16" stopIfTrue="1">
      <formula>$C13=1</formula>
    </cfRule>
  </conditionalFormatting>
  <conditionalFormatting sqref="O11 O18">
    <cfRule type="expression" priority="1090" dxfId="1" stopIfTrue="1">
      <formula>$B13=FALSE</formula>
    </cfRule>
    <cfRule type="expression" priority="1091" dxfId="0" stopIfTrue="1">
      <formula>$C13=1</formula>
    </cfRule>
  </conditionalFormatting>
  <conditionalFormatting sqref="P12:W12">
    <cfRule type="expression" priority="1080" dxfId="6" stopIfTrue="1">
      <formula>AND(ISNUMBER(O13),O13&gt;=$N11)</formula>
    </cfRule>
    <cfRule type="cellIs" priority="1081" dxfId="3" operator="notBetween" stopIfTrue="1">
      <formula>0</formula>
      <formula>1</formula>
    </cfRule>
  </conditionalFormatting>
  <conditionalFormatting sqref="P13:W13">
    <cfRule type="expression" priority="1082" dxfId="4" stopIfTrue="1">
      <formula>AND(ISNUMBER(O13),O13&gt;=$N11)</formula>
    </cfRule>
    <cfRule type="cellIs" priority="1083" dxfId="3" operator="notBetween" stopIfTrue="1">
      <formula>0</formula>
      <formula>$N11</formula>
    </cfRule>
  </conditionalFormatting>
  <conditionalFormatting sqref="P14:W14">
    <cfRule type="expression" priority="1084" dxfId="4" stopIfTrue="1">
      <formula>AND(ISNUMBER(O17),O17&gt;=$N14)</formula>
    </cfRule>
  </conditionalFormatting>
  <conditionalFormatting sqref="P15:W15">
    <cfRule type="expression" priority="1085" dxfId="4" stopIfTrue="1">
      <formula>AND(ISNUMBER(O17),O17&gt;=$N14)</formula>
    </cfRule>
  </conditionalFormatting>
  <conditionalFormatting sqref="P16:W16">
    <cfRule type="expression" priority="1086" dxfId="4" stopIfTrue="1">
      <formula>AND(ISNUMBER(O17),O17&gt;=$N14)</formula>
    </cfRule>
    <cfRule type="cellIs" priority="1087" dxfId="3" operator="notBetween" stopIfTrue="1">
      <formula>0</formula>
      <formula>1</formula>
    </cfRule>
  </conditionalFormatting>
  <conditionalFormatting sqref="P17:W17">
    <cfRule type="expression" priority="1088" dxfId="4" stopIfTrue="1">
      <formula>AND(ISNUMBER(O17),O17&gt;=$N14)</formula>
    </cfRule>
    <cfRule type="cellIs" priority="1089" dxfId="3" operator="notBetween" stopIfTrue="1">
      <formula>0</formula>
      <formula>$N14</formula>
    </cfRule>
  </conditionalFormatting>
  <conditionalFormatting sqref="L8">
    <cfRule type="cellIs" priority="1075" dxfId="3" operator="notEqual" stopIfTrue="1">
      <formula>""</formula>
    </cfRule>
  </conditionalFormatting>
  <conditionalFormatting sqref="N9">
    <cfRule type="expression" priority="1074" dxfId="50" stopIfTrue="1">
      <formula>TipoOrçamento&lt;&gt;"REPROGRAMADOAC"</formula>
    </cfRule>
  </conditionalFormatting>
  <conditionalFormatting sqref="L19:M20">
    <cfRule type="expression" priority="1909" dxfId="16" stopIfTrue="1">
      <formula>#REF!=1</formula>
    </cfRule>
  </conditionalFormatting>
  <conditionalFormatting sqref="P11:W11">
    <cfRule type="expression" priority="229" dxfId="2" stopIfTrue="1">
      <formula>AND(ISNUMBER(O13),O13&gt;=$N11)</formula>
    </cfRule>
    <cfRule type="expression" priority="230" dxfId="1" stopIfTrue="1">
      <formula>$B13=FALSE</formula>
    </cfRule>
    <cfRule type="expression" priority="231" dxfId="0" stopIfTrue="1">
      <formula>$C13=1</formula>
    </cfRule>
  </conditionalFormatting>
  <conditionalFormatting sqref="P19:W19">
    <cfRule type="expression" priority="180" dxfId="6" stopIfTrue="1">
      <formula>AND(ISNUMBER(O20),O20&gt;=$N18)</formula>
    </cfRule>
    <cfRule type="cellIs" priority="181" dxfId="3" operator="notBetween" stopIfTrue="1">
      <formula>0</formula>
      <formula>1</formula>
    </cfRule>
  </conditionalFormatting>
  <conditionalFormatting sqref="P20:W20">
    <cfRule type="expression" priority="182" dxfId="4" stopIfTrue="1">
      <formula>AND(ISNUMBER(O20),O20&gt;=$N18)</formula>
    </cfRule>
    <cfRule type="cellIs" priority="183" dxfId="3" operator="notBetween" stopIfTrue="1">
      <formula>0</formula>
      <formula>$N18</formula>
    </cfRule>
  </conditionalFormatting>
  <conditionalFormatting sqref="O10:W10">
    <cfRule type="expression" priority="152" dxfId="17" stopIfTrue="1">
      <formula>1=1</formula>
    </cfRule>
  </conditionalFormatting>
  <conditionalFormatting sqref="P18:W18">
    <cfRule type="expression" priority="107" dxfId="2" stopIfTrue="1">
      <formula>AND(ISNUMBER(O20),O20&gt;=$N18)</formula>
    </cfRule>
    <cfRule type="expression" priority="108" dxfId="1" stopIfTrue="1">
      <formula>$B20=FALSE</formula>
    </cfRule>
    <cfRule type="expression" priority="109" dxfId="0" stopIfTrue="1">
      <formula>$C20=1</formula>
    </cfRule>
  </conditionalFormatting>
  <conditionalFormatting sqref="AC18">
    <cfRule type="expression" priority="27" dxfId="2" stopIfTrue="1">
      <formula>AND(ISNUMBER(AB20),AB20&gt;=$N18)</formula>
    </cfRule>
    <cfRule type="expression" priority="28" dxfId="1" stopIfTrue="1">
      <formula>$B20=FALSE</formula>
    </cfRule>
    <cfRule type="expression" priority="29" dxfId="0" stopIfTrue="1">
      <formula>$C20=1</formula>
    </cfRule>
  </conditionalFormatting>
  <conditionalFormatting sqref="AC12">
    <cfRule type="expression" priority="42" dxfId="6" stopIfTrue="1">
      <formula>AND(ISNUMBER(AB13),AB13&gt;=$N11)</formula>
    </cfRule>
    <cfRule type="cellIs" priority="43" dxfId="3" operator="notBetween" stopIfTrue="1">
      <formula>0</formula>
      <formula>1</formula>
    </cfRule>
  </conditionalFormatting>
  <conditionalFormatting sqref="AC13">
    <cfRule type="expression" priority="44" dxfId="4" stopIfTrue="1">
      <formula>AND(ISNUMBER(AB13),AB13&gt;=$N11)</formula>
    </cfRule>
    <cfRule type="cellIs" priority="45" dxfId="3" operator="notBetween" stopIfTrue="1">
      <formula>0</formula>
      <formula>$N11</formula>
    </cfRule>
  </conditionalFormatting>
  <conditionalFormatting sqref="AC14">
    <cfRule type="expression" priority="46" dxfId="4" stopIfTrue="1">
      <formula>AND(ISNUMBER(AB17),AB17&gt;=$N14)</formula>
    </cfRule>
  </conditionalFormatting>
  <conditionalFormatting sqref="AC15">
    <cfRule type="expression" priority="47" dxfId="4" stopIfTrue="1">
      <formula>AND(ISNUMBER(AB17),AB17&gt;=$N14)</formula>
    </cfRule>
  </conditionalFormatting>
  <conditionalFormatting sqref="AC16">
    <cfRule type="expression" priority="48" dxfId="4" stopIfTrue="1">
      <formula>AND(ISNUMBER(AB17),AB17&gt;=$N14)</formula>
    </cfRule>
    <cfRule type="cellIs" priority="49" dxfId="3" operator="notBetween" stopIfTrue="1">
      <formula>0</formula>
      <formula>1</formula>
    </cfRule>
  </conditionalFormatting>
  <conditionalFormatting sqref="AC17">
    <cfRule type="expression" priority="50" dxfId="4" stopIfTrue="1">
      <formula>AND(ISNUMBER(AB17),AB17&gt;=$N14)</formula>
    </cfRule>
    <cfRule type="cellIs" priority="51" dxfId="3" operator="notBetween" stopIfTrue="1">
      <formula>0</formula>
      <formula>$N14</formula>
    </cfRule>
  </conditionalFormatting>
  <conditionalFormatting sqref="AC11">
    <cfRule type="expression" priority="39" dxfId="2" stopIfTrue="1">
      <formula>AND(ISNUMBER(AB13),AB13&gt;=$N11)</formula>
    </cfRule>
    <cfRule type="expression" priority="40" dxfId="1" stopIfTrue="1">
      <formula>$B13=FALSE</formula>
    </cfRule>
    <cfRule type="expression" priority="41" dxfId="0" stopIfTrue="1">
      <formula>$C13=1</formula>
    </cfRule>
  </conditionalFormatting>
  <conditionalFormatting sqref="AC19">
    <cfRule type="expression" priority="35" dxfId="6" stopIfTrue="1">
      <formula>AND(ISNUMBER(AB20),AB20&gt;=$N18)</formula>
    </cfRule>
    <cfRule type="cellIs" priority="36" dxfId="3" operator="notBetween" stopIfTrue="1">
      <formula>0</formula>
      <formula>1</formula>
    </cfRule>
  </conditionalFormatting>
  <conditionalFormatting sqref="AC20">
    <cfRule type="expression" priority="37" dxfId="4" stopIfTrue="1">
      <formula>AND(ISNUMBER(AB20),AB20&gt;=$N18)</formula>
    </cfRule>
    <cfRule type="cellIs" priority="38" dxfId="3" operator="notBetween" stopIfTrue="1">
      <formula>0</formula>
      <formula>$N18</formula>
    </cfRule>
  </conditionalFormatting>
  <conditionalFormatting sqref="AC10">
    <cfRule type="expression" priority="30" dxfId="17" stopIfTrue="1">
      <formula>1=1</formula>
    </cfRule>
  </conditionalFormatting>
  <conditionalFormatting sqref="L21:N21 L24:N24 L27:N27 L22:M23 L25:M26 L28:M29">
    <cfRule type="expression" priority="11" dxfId="16" stopIfTrue="1">
      <formula>$C23=1</formula>
    </cfRule>
  </conditionalFormatting>
  <conditionalFormatting sqref="O21 O24 O27">
    <cfRule type="expression" priority="16" dxfId="1" stopIfTrue="1">
      <formula>$B23=FALSE</formula>
    </cfRule>
    <cfRule type="expression" priority="17" dxfId="0" stopIfTrue="1">
      <formula>$C23=1</formula>
    </cfRule>
  </conditionalFormatting>
  <conditionalFormatting sqref="P22:W22 P25:W25 P28:W28">
    <cfRule type="expression" priority="12" dxfId="6" stopIfTrue="1">
      <formula>AND(ISNUMBER(O23),O23&gt;=$N21)</formula>
    </cfRule>
    <cfRule type="cellIs" priority="13" dxfId="3" operator="notBetween" stopIfTrue="1">
      <formula>0</formula>
      <formula>1</formula>
    </cfRule>
  </conditionalFormatting>
  <conditionalFormatting sqref="P23:W23 P26:W26 P29:W29">
    <cfRule type="expression" priority="14" dxfId="4" stopIfTrue="1">
      <formula>AND(ISNUMBER(O23),O23&gt;=$N21)</formula>
    </cfRule>
    <cfRule type="cellIs" priority="15" dxfId="3" operator="notBetween" stopIfTrue="1">
      <formula>0</formula>
      <formula>$N21</formula>
    </cfRule>
  </conditionalFormatting>
  <conditionalFormatting sqref="P21:W21 P24:W24 P27:W27">
    <cfRule type="expression" priority="8" dxfId="2" stopIfTrue="1">
      <formula>AND(ISNUMBER(O23),O23&gt;=$N21)</formula>
    </cfRule>
    <cfRule type="expression" priority="9" dxfId="1" stopIfTrue="1">
      <formula>$B23=FALSE</formula>
    </cfRule>
    <cfRule type="expression" priority="10" dxfId="0" stopIfTrue="1">
      <formula>$C23=1</formula>
    </cfRule>
  </conditionalFormatting>
  <conditionalFormatting sqref="AC22 AC25 AC28">
    <cfRule type="expression" priority="4" dxfId="6" stopIfTrue="1">
      <formula>AND(ISNUMBER(AB23),AB23&gt;=$N21)</formula>
    </cfRule>
    <cfRule type="cellIs" priority="5" dxfId="3" operator="notBetween" stopIfTrue="1">
      <formula>0</formula>
      <formula>1</formula>
    </cfRule>
  </conditionalFormatting>
  <conditionalFormatting sqref="AC23 AC26 AC29">
    <cfRule type="expression" priority="6" dxfId="4" stopIfTrue="1">
      <formula>AND(ISNUMBER(AB23),AB23&gt;=$N21)</formula>
    </cfRule>
    <cfRule type="cellIs" priority="7" dxfId="3" operator="notBetween" stopIfTrue="1">
      <formula>0</formula>
      <formula>$N21</formula>
    </cfRule>
  </conditionalFormatting>
  <conditionalFormatting sqref="AC21 AC24 AC27">
    <cfRule type="expression" priority="1" dxfId="2" stopIfTrue="1">
      <formula>AND(ISNUMBER(AB23),AB23&gt;=$N21)</formula>
    </cfRule>
    <cfRule type="expression" priority="2" dxfId="1" stopIfTrue="1">
      <formula>$B23=FALSE</formula>
    </cfRule>
    <cfRule type="expression" priority="3" dxfId="0" stopIfTrue="1">
      <formula>$C23=1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AC21 AC24 AC27">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1" fitToWidth="1" horizontalDpi="600" verticalDpi="600" orientation="landscape" paperSize="9" scale="43"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engenharia02</dc:creator>
  <cp:keywords/>
  <dc:description/>
  <cp:lastModifiedBy>Paulo D</cp:lastModifiedBy>
  <cp:lastPrinted>2019-04-08T19:33:34Z</cp:lastPrinted>
  <dcterms:created xsi:type="dcterms:W3CDTF">1998-03-27T18:43:07Z</dcterms:created>
  <dcterms:modified xsi:type="dcterms:W3CDTF">2019-04-08T19:34:10Z</dcterms:modified>
  <cp:category/>
  <cp:version/>
  <cp:contentType/>
  <cp:contentStatus/>
</cp:coreProperties>
</file>